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6"/>
  </bookViews>
  <sheets>
    <sheet name="公園" sheetId="1" r:id="rId1"/>
    <sheet name="舗装" sheetId="2" r:id="rId2"/>
    <sheet name="河川維持" sheetId="3" r:id="rId3"/>
    <sheet name="道路維持" sheetId="4" r:id="rId4"/>
    <sheet name="河川工事" sheetId="5" r:id="rId5"/>
    <sheet name="河川・道路構造物" sheetId="6" r:id="rId6"/>
    <sheet name="道路改良工事" sheetId="7" r:id="rId7"/>
  </sheets>
  <definedNames/>
  <calcPr fullCalcOnLoad="1"/>
</workbook>
</file>

<file path=xl/sharedStrings.xml><?xml version="1.0" encoding="utf-8"?>
<sst xmlns="http://schemas.openxmlformats.org/spreadsheetml/2006/main" count="490" uniqueCount="66">
  <si>
    <t>工事名</t>
  </si>
  <si>
    <t>予定価格</t>
  </si>
  <si>
    <t>調査価格</t>
  </si>
  <si>
    <t>重点調査価格</t>
  </si>
  <si>
    <t>直接工事費</t>
  </si>
  <si>
    <t>処分費</t>
  </si>
  <si>
    <t>*0.03</t>
  </si>
  <si>
    <t>処分費控除分</t>
  </si>
  <si>
    <t>・処分費の控除がマイナスのときはゼロに調整してご使用ください。</t>
  </si>
  <si>
    <t>桁等購入費</t>
  </si>
  <si>
    <t>(大型遊具設計製作品）</t>
  </si>
  <si>
    <t>鋼橋門扉工場原価</t>
  </si>
  <si>
    <t>共通仮設費積み上げ分</t>
  </si>
  <si>
    <t>イメージアップ経費率％</t>
  </si>
  <si>
    <t>公園工事</t>
  </si>
  <si>
    <t>控除分</t>
  </si>
  <si>
    <t>処分費控除対象金額</t>
  </si>
  <si>
    <t>６００万から１０億以下</t>
  </si>
  <si>
    <t>共通仮設費対象金額</t>
  </si>
  <si>
    <t>共通仮設費率</t>
  </si>
  <si>
    <t>共通仮設費率分</t>
  </si>
  <si>
    <t>イメージアップ経費</t>
  </si>
  <si>
    <t>共通仮設費計</t>
  </si>
  <si>
    <t>純工事費</t>
  </si>
  <si>
    <t>７００万から１０億以下</t>
  </si>
  <si>
    <t>現場管理費対象金額</t>
  </si>
  <si>
    <t>現場管理費率</t>
  </si>
  <si>
    <t>現場管理費</t>
  </si>
  <si>
    <t>工事原価</t>
  </si>
  <si>
    <t>一般管理費対象金額</t>
  </si>
  <si>
    <t>一般管理費率</t>
  </si>
  <si>
    <t>一般管理費</t>
  </si>
  <si>
    <t>工事価格</t>
  </si>
  <si>
    <t>市街地補正なし</t>
  </si>
  <si>
    <t>地方部の影響あり</t>
  </si>
  <si>
    <t>市街地補正あり</t>
  </si>
  <si>
    <t>直接工事費*0.95</t>
  </si>
  <si>
    <t>共通仮設費計0.9</t>
  </si>
  <si>
    <t>現場管理費*0.9</t>
  </si>
  <si>
    <t>一般管理費*0.55</t>
  </si>
  <si>
    <t>2013.5.16公告より</t>
  </si>
  <si>
    <t>0.7～0.9</t>
  </si>
  <si>
    <t>直接工事費*0.75</t>
  </si>
  <si>
    <t>共通仮設費計*0.7</t>
  </si>
  <si>
    <t>現場管理費*0.7</t>
  </si>
  <si>
    <t>一般管理費*0.3</t>
  </si>
  <si>
    <t>舗装工事</t>
  </si>
  <si>
    <t>大都市2</t>
  </si>
  <si>
    <t>大阪市</t>
  </si>
  <si>
    <t>2016公告より</t>
  </si>
  <si>
    <t>現場管理費*0.９</t>
  </si>
  <si>
    <t>大阪市内</t>
  </si>
  <si>
    <t>河川維持</t>
  </si>
  <si>
    <t>６００万から１億円以下</t>
  </si>
  <si>
    <t>７００万から１億円以下</t>
  </si>
  <si>
    <t>道路維持</t>
  </si>
  <si>
    <t>河川工事</t>
  </si>
  <si>
    <t>河川・道路構造物工事</t>
  </si>
  <si>
    <t>道路改良工事</t>
  </si>
  <si>
    <t>DID(2)</t>
  </si>
  <si>
    <t>補正なし</t>
  </si>
  <si>
    <t>500万以下</t>
  </si>
  <si>
    <t>DID(2）</t>
  </si>
  <si>
    <t>DID(1)</t>
  </si>
  <si>
    <t>DID(1）</t>
  </si>
  <si>
    <t>DID(2）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</si>
</sst>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0_ ;[Red]\-#,##0.00\ "/>
    <numFmt numFmtId="178" formatCode="#,##0.00000;[Red]\-#,##0.00000"/>
  </numFmts>
  <fonts count="38">
    <font>
      <sz val="11"/>
      <name val="ＭＳ Ｐゴシック"/>
      <family val="3"/>
    </font>
    <font>
      <sz val="10"/>
      <name val="Arial"/>
      <family val="2"/>
    </font>
    <font>
      <sz val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38" fontId="0" fillId="0" borderId="0" xfId="48" applyFont="1" applyFill="1" applyBorder="1" applyAlignment="1" applyProtection="1">
      <alignment/>
      <protection/>
    </xf>
    <xf numFmtId="38" fontId="0" fillId="33" borderId="0" xfId="48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176" fontId="0" fillId="0" borderId="0" xfId="48" applyNumberFormat="1" applyFont="1" applyFill="1" applyBorder="1" applyAlignment="1" applyProtection="1">
      <alignment/>
      <protection/>
    </xf>
    <xf numFmtId="177" fontId="0" fillId="0" borderId="0" xfId="0" applyNumberFormat="1" applyAlignment="1">
      <alignment/>
    </xf>
    <xf numFmtId="38" fontId="0" fillId="0" borderId="0" xfId="48" applyFont="1" applyFill="1" applyBorder="1" applyAlignment="1" applyProtection="1">
      <alignment horizontal="right"/>
      <protection/>
    </xf>
    <xf numFmtId="38" fontId="0" fillId="0" borderId="0" xfId="48" applyNumberFormat="1" applyFont="1" applyFill="1" applyBorder="1" applyAlignment="1" applyProtection="1">
      <alignment/>
      <protection/>
    </xf>
    <xf numFmtId="178" fontId="0" fillId="0" borderId="0" xfId="48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E34" sqref="E34"/>
    </sheetView>
  </sheetViews>
  <sheetFormatPr defaultColWidth="9.00390625" defaultRowHeight="13.5"/>
  <cols>
    <col min="1" max="1" width="2.125" style="0" customWidth="1"/>
    <col min="2" max="2" width="20.625" style="0" customWidth="1"/>
    <col min="3" max="4" width="19.625" style="1" customWidth="1"/>
    <col min="5" max="5" width="19.625" style="0" customWidth="1"/>
    <col min="6" max="6" width="16.875" style="0" customWidth="1"/>
    <col min="8" max="11" width="24.625" style="0" customWidth="1"/>
  </cols>
  <sheetData>
    <row r="1" ht="13.5">
      <c r="A1" t="s">
        <v>0</v>
      </c>
    </row>
    <row r="2" ht="13.5">
      <c r="B2" t="s">
        <v>1</v>
      </c>
    </row>
    <row r="3" ht="13.5">
      <c r="B3" t="s">
        <v>2</v>
      </c>
    </row>
    <row r="4" ht="13.5">
      <c r="B4" t="s">
        <v>3</v>
      </c>
    </row>
    <row r="7" spans="2:5" ht="13.5">
      <c r="B7" t="s">
        <v>4</v>
      </c>
      <c r="C7" s="2">
        <v>9503000</v>
      </c>
      <c r="D7" s="2" t="s">
        <v>5</v>
      </c>
      <c r="E7" t="s">
        <v>6</v>
      </c>
    </row>
    <row r="8" spans="2:6" ht="13.5">
      <c r="B8" t="s">
        <v>7</v>
      </c>
      <c r="C8" s="2">
        <f>D8-E8</f>
        <v>109820</v>
      </c>
      <c r="D8" s="2">
        <v>170210</v>
      </c>
      <c r="E8" s="1">
        <f>ROUNDDOWN(C20*0.03,0)</f>
        <v>60390</v>
      </c>
      <c r="F8" s="3" t="s">
        <v>8</v>
      </c>
    </row>
    <row r="9" spans="2:4" ht="13.5">
      <c r="B9" t="s">
        <v>9</v>
      </c>
      <c r="C9" s="2">
        <v>7490000</v>
      </c>
      <c r="D9" s="1" t="s">
        <v>10</v>
      </c>
    </row>
    <row r="10" spans="2:3" ht="13.5">
      <c r="B10" t="s">
        <v>11</v>
      </c>
      <c r="C10" s="2"/>
    </row>
    <row r="11" spans="2:3" ht="13.5">
      <c r="B11" t="s">
        <v>12</v>
      </c>
      <c r="C11" s="2">
        <v>64400</v>
      </c>
    </row>
    <row r="12" spans="2:3" ht="13.5">
      <c r="B12" t="s">
        <v>12</v>
      </c>
      <c r="C12" s="2"/>
    </row>
    <row r="13" spans="2:3" ht="13.5">
      <c r="B13" t="s">
        <v>12</v>
      </c>
      <c r="C13" s="2"/>
    </row>
    <row r="14" spans="2:3" ht="13.5">
      <c r="B14" t="s">
        <v>12</v>
      </c>
      <c r="C14" s="2"/>
    </row>
    <row r="15" spans="2:5" ht="13.5">
      <c r="B15" t="s">
        <v>13</v>
      </c>
      <c r="C15" s="4">
        <f>ROUND(11*POWER(C20,-0.138),2)</f>
        <v>1.48</v>
      </c>
      <c r="D15" s="4">
        <f>ROUND(11*POWER(D20,-0.138),2)</f>
        <v>1.48</v>
      </c>
      <c r="E15" s="5">
        <f>C15+1.5</f>
        <v>2.98</v>
      </c>
    </row>
    <row r="17" spans="3:5" ht="13.5">
      <c r="C17" s="6" t="s">
        <v>14</v>
      </c>
      <c r="D17" s="6" t="s">
        <v>14</v>
      </c>
      <c r="E17" s="6" t="s">
        <v>14</v>
      </c>
    </row>
    <row r="18" spans="2:5" ht="13.5">
      <c r="B18" t="s">
        <v>4</v>
      </c>
      <c r="C18" s="1">
        <f>C7</f>
        <v>9503000</v>
      </c>
      <c r="D18" s="1">
        <f>C7</f>
        <v>9503000</v>
      </c>
      <c r="E18" s="1">
        <f>C7</f>
        <v>9503000</v>
      </c>
    </row>
    <row r="19" spans="2:5" ht="13.5">
      <c r="B19" t="s">
        <v>15</v>
      </c>
      <c r="C19" s="1">
        <f>C8+C9+C10</f>
        <v>7599820</v>
      </c>
      <c r="D19" s="1">
        <f>C8+C9+C10</f>
        <v>7599820</v>
      </c>
      <c r="E19" s="1">
        <f>C8+C9+C10</f>
        <v>7599820</v>
      </c>
    </row>
    <row r="20" spans="2:6" ht="13.5">
      <c r="B20" t="s">
        <v>16</v>
      </c>
      <c r="C20" s="1">
        <f>C7-C9-C10</f>
        <v>2013000</v>
      </c>
      <c r="D20" s="1">
        <f>C7-C9-C10</f>
        <v>2013000</v>
      </c>
      <c r="E20" s="1">
        <f>C7-C9-C10</f>
        <v>2013000</v>
      </c>
      <c r="F20" s="3" t="s">
        <v>17</v>
      </c>
    </row>
    <row r="21" spans="2:6" ht="13.5">
      <c r="B21" t="s">
        <v>18</v>
      </c>
      <c r="C21" s="1">
        <f>C7-C8-C9-C10</f>
        <v>1903180</v>
      </c>
      <c r="D21" s="1">
        <f>C7-C8-C9-C10</f>
        <v>1903180</v>
      </c>
      <c r="E21" s="1">
        <f>C7-C8-C9-C10</f>
        <v>1903180</v>
      </c>
      <c r="F21" s="3"/>
    </row>
    <row r="22" spans="2:5" ht="13.5">
      <c r="B22" t="s">
        <v>19</v>
      </c>
      <c r="C22" s="4">
        <f>ROUND(48*POWER(C21,-0.0956),2)</f>
        <v>12.05</v>
      </c>
      <c r="D22" s="4">
        <f>ROUND(48*POWER(D21,-0.0956),2)+1.5</f>
        <v>13.55</v>
      </c>
      <c r="E22" s="4">
        <f>ROUND(48*POWER(E21,-0.0956),2)*1.2</f>
        <v>14.46</v>
      </c>
    </row>
    <row r="23" spans="2:5" ht="13.5">
      <c r="B23" t="s">
        <v>20</v>
      </c>
      <c r="C23" s="1">
        <f>ROUNDDOWN(C21*C22/100,-3)</f>
        <v>229000</v>
      </c>
      <c r="D23" s="1">
        <f>ROUNDDOWN(D21*D22/100,-3)</f>
        <v>257000</v>
      </c>
      <c r="E23" s="1">
        <f>ROUNDDOWN(E21*E22/100,-3)</f>
        <v>275000</v>
      </c>
    </row>
    <row r="24" spans="2:5" ht="13.5">
      <c r="B24" t="s">
        <v>12</v>
      </c>
      <c r="C24" s="1">
        <f>SUM(C11:C14)</f>
        <v>64400</v>
      </c>
      <c r="D24" s="1">
        <f>SUM(C11:C14)</f>
        <v>64400</v>
      </c>
      <c r="E24" s="1">
        <f>SUM(C11:C14)</f>
        <v>64400</v>
      </c>
    </row>
    <row r="25" spans="2:5" ht="13.5">
      <c r="B25" t="s">
        <v>21</v>
      </c>
      <c r="E25" s="1"/>
    </row>
    <row r="26" spans="2:5" ht="13.5">
      <c r="B26" t="s">
        <v>22</v>
      </c>
      <c r="C26" s="1">
        <f>SUM(C23:C25)</f>
        <v>293400</v>
      </c>
      <c r="D26" s="1">
        <f>SUM(D23:D25)</f>
        <v>321400</v>
      </c>
      <c r="E26" s="1">
        <f>SUM(E23:E25)</f>
        <v>339400</v>
      </c>
    </row>
    <row r="27" spans="2:6" ht="13.5">
      <c r="B27" t="s">
        <v>23</v>
      </c>
      <c r="C27" s="1">
        <f>C18+C26</f>
        <v>9796400</v>
      </c>
      <c r="D27" s="1">
        <f>D18+D26</f>
        <v>9824400</v>
      </c>
      <c r="E27" s="1">
        <f>E18+E26</f>
        <v>9842400</v>
      </c>
      <c r="F27" s="3" t="s">
        <v>24</v>
      </c>
    </row>
    <row r="28" spans="2:6" ht="13.5">
      <c r="B28" t="s">
        <v>25</v>
      </c>
      <c r="C28" s="1">
        <f>C7+C26-C8-C10</f>
        <v>9686580</v>
      </c>
      <c r="D28" s="1">
        <f>C7+D26-C8-C10</f>
        <v>9714580</v>
      </c>
      <c r="E28" s="1">
        <f>C7+E26-C8-C10</f>
        <v>9732580</v>
      </c>
      <c r="F28" s="3"/>
    </row>
    <row r="29" spans="2:5" ht="13.5">
      <c r="B29" t="s">
        <v>26</v>
      </c>
      <c r="C29" s="4">
        <f>ROUND(366.3*POWER(C28,-0.1379),2)</f>
        <v>39.85</v>
      </c>
      <c r="D29" s="4">
        <f>ROUND(366.3*POWER(D28,-0.1379),2)+1</f>
        <v>40.84</v>
      </c>
      <c r="E29" s="4">
        <f>ROUND(366.3*POWER(E28,-0.1379),2)*1.1</f>
        <v>43.813</v>
      </c>
    </row>
    <row r="30" spans="2:5" ht="13.5">
      <c r="B30" t="s">
        <v>27</v>
      </c>
      <c r="C30" s="1">
        <f>ROUNDDOWN(C28*C29/100,-3)</f>
        <v>3860000</v>
      </c>
      <c r="D30" s="1">
        <f>ROUNDDOWN(D28*D29/100,-3)</f>
        <v>3967000</v>
      </c>
      <c r="E30" s="1">
        <f>ROUNDDOWN(E28*E29/100,-3)</f>
        <v>4264000</v>
      </c>
    </row>
    <row r="31" spans="2:5" ht="13.5">
      <c r="B31" t="s">
        <v>28</v>
      </c>
      <c r="C31" s="1">
        <f>C27+C30</f>
        <v>13656400</v>
      </c>
      <c r="D31" s="1">
        <f>D27+D30</f>
        <v>13791400</v>
      </c>
      <c r="E31" s="1">
        <f>E27+E30</f>
        <v>14106400</v>
      </c>
    </row>
    <row r="32" spans="2:5" ht="13.5">
      <c r="B32" t="s">
        <v>29</v>
      </c>
      <c r="C32" s="1">
        <f>C18+C26+C30-C8</f>
        <v>13546580</v>
      </c>
      <c r="D32" s="1">
        <f>D18+D26+D30-C8</f>
        <v>13681580</v>
      </c>
      <c r="E32" s="1">
        <f>E18+E26+E30-C8</f>
        <v>13996580</v>
      </c>
    </row>
    <row r="33" spans="2:7" ht="13.5">
      <c r="B33" t="s">
        <v>30</v>
      </c>
      <c r="C33" s="4">
        <f>ROUND(-5.48972*LOG(C32,10)+59.4977,2)</f>
        <v>20.35</v>
      </c>
      <c r="D33" s="4">
        <f>ROUND(-5.48972*LOG(D32,10)+59.4977,2)</f>
        <v>20.32</v>
      </c>
      <c r="E33" s="4">
        <f>ROUND(-5.48972*LOG(E32,10)+59.4977,2)</f>
        <v>20.27</v>
      </c>
      <c r="F33" t="s">
        <v>60</v>
      </c>
      <c r="G33" t="s">
        <v>61</v>
      </c>
    </row>
    <row r="34" spans="2:5" ht="13.5">
      <c r="B34" t="s">
        <v>31</v>
      </c>
      <c r="C34" s="7">
        <f>ROUNDDOWN(C32*C33/100,0)</f>
        <v>2756729</v>
      </c>
      <c r="D34" s="7">
        <f>ROUNDDOWN(D32*D33/100,0)</f>
        <v>2780097</v>
      </c>
      <c r="E34" s="7">
        <f>ROUNDDOWN(E32*E33/100,0)</f>
        <v>2837106</v>
      </c>
    </row>
    <row r="35" spans="2:5" ht="13.5">
      <c r="B35" t="s">
        <v>32</v>
      </c>
      <c r="C35" s="1">
        <f>C32+C34+C8</f>
        <v>16413129</v>
      </c>
      <c r="D35" s="1">
        <f>D32+D34+C8</f>
        <v>16571497</v>
      </c>
      <c r="E35" s="1">
        <f>E32+E34+C8</f>
        <v>16943506</v>
      </c>
    </row>
    <row r="36" spans="3:5" ht="13.5">
      <c r="C36" s="6" t="s">
        <v>33</v>
      </c>
      <c r="D36" s="6" t="s">
        <v>34</v>
      </c>
      <c r="E36" s="6" t="s">
        <v>59</v>
      </c>
    </row>
    <row r="41" spans="3:5" ht="13.5">
      <c r="C41" t="s">
        <v>2</v>
      </c>
      <c r="D41" t="s">
        <v>2</v>
      </c>
      <c r="E41" t="s">
        <v>2</v>
      </c>
    </row>
    <row r="42" spans="2:5" ht="13.5">
      <c r="B42" t="s">
        <v>36</v>
      </c>
      <c r="C42" s="1">
        <f>ROUNDDOWN(C7*0.95,0)</f>
        <v>9027850</v>
      </c>
      <c r="D42" s="1">
        <f>ROUNDDOWN(C7*0.95,0)</f>
        <v>9027850</v>
      </c>
      <c r="E42" s="1">
        <f>ROUNDDOWN(C7*0.95,0)</f>
        <v>9027850</v>
      </c>
    </row>
    <row r="43" spans="2:5" ht="13.5">
      <c r="B43" t="s">
        <v>37</v>
      </c>
      <c r="C43" s="1">
        <f>ROUNDDOWN(C26*0.9,0)</f>
        <v>264060</v>
      </c>
      <c r="D43" s="1">
        <f>ROUNDDOWN(D26*0.9,0)</f>
        <v>289260</v>
      </c>
      <c r="E43" s="1">
        <f>ROUNDDOWN(E26*0.9,0)</f>
        <v>305460</v>
      </c>
    </row>
    <row r="44" spans="2:5" ht="13.5">
      <c r="B44" t="s">
        <v>23</v>
      </c>
      <c r="C44" s="1">
        <f>SUM(C42:C43)</f>
        <v>9291910</v>
      </c>
      <c r="D44" s="1">
        <f>SUM(D42:D43)</f>
        <v>9317110</v>
      </c>
      <c r="E44" s="1">
        <f>SUM(E42:E43)</f>
        <v>9333310</v>
      </c>
    </row>
    <row r="45" spans="2:5" ht="13.5">
      <c r="B45" t="s">
        <v>38</v>
      </c>
      <c r="C45" s="1">
        <f>ROUNDDOWN(C30*0.9,0)</f>
        <v>3474000</v>
      </c>
      <c r="D45" s="1">
        <f>ROUNDDOWN(D30*0.9,0)</f>
        <v>3570300</v>
      </c>
      <c r="E45" s="1">
        <f>ROUNDDOWN(E30*0.9,0)</f>
        <v>3837600</v>
      </c>
    </row>
    <row r="46" spans="2:5" ht="13.5">
      <c r="B46" t="s">
        <v>28</v>
      </c>
      <c r="C46" s="1">
        <f>SUM(C44:C45)</f>
        <v>12765910</v>
      </c>
      <c r="D46" s="1">
        <f>SUM(D44:D45)</f>
        <v>12887410</v>
      </c>
      <c r="E46" s="1">
        <f>SUM(E44:E45)</f>
        <v>13170910</v>
      </c>
    </row>
    <row r="47" spans="2:6" ht="13.5">
      <c r="B47" t="s">
        <v>39</v>
      </c>
      <c r="C47" s="1">
        <f>ROUNDDOWN(C34*0.55,0)</f>
        <v>1516200</v>
      </c>
      <c r="D47" s="1">
        <f>ROUNDDOWN(D34*0.55,0)</f>
        <v>1529053</v>
      </c>
      <c r="E47" s="1">
        <f>ROUNDDOWN(E34*0.55,0)</f>
        <v>1560408</v>
      </c>
      <c r="F47" t="s">
        <v>40</v>
      </c>
    </row>
    <row r="48" spans="2:5" ht="13.5">
      <c r="B48" t="s">
        <v>32</v>
      </c>
      <c r="C48" s="1">
        <f>SUM(C46:C47)</f>
        <v>14282110</v>
      </c>
      <c r="D48" s="1">
        <f>SUM(D46:D47)</f>
        <v>14416463</v>
      </c>
      <c r="E48" s="1">
        <f>SUM(E46:E47)</f>
        <v>14731318</v>
      </c>
    </row>
    <row r="49" spans="3:6" ht="13.5">
      <c r="C49" s="8">
        <f>C48/C35</f>
        <v>0.8701637573189122</v>
      </c>
      <c r="D49" s="8">
        <f>D48/D35</f>
        <v>0.8699553818221734</v>
      </c>
      <c r="E49" s="8">
        <f>E48/E35</f>
        <v>0.8694374115959236</v>
      </c>
      <c r="F49" t="s">
        <v>41</v>
      </c>
    </row>
    <row r="50" ht="13.5">
      <c r="E50" s="1"/>
    </row>
    <row r="51" spans="3:5" ht="13.5">
      <c r="C51" t="s">
        <v>3</v>
      </c>
      <c r="D51" t="s">
        <v>3</v>
      </c>
      <c r="E51" t="s">
        <v>3</v>
      </c>
    </row>
    <row r="52" spans="2:5" ht="13.5">
      <c r="B52" t="s">
        <v>42</v>
      </c>
      <c r="C52" s="1">
        <f>ROUNDDOWN(C7*0.75,0)</f>
        <v>7127250</v>
      </c>
      <c r="D52" s="1">
        <f>ROUNDDOWN(C7*0.75,0)</f>
        <v>7127250</v>
      </c>
      <c r="E52" s="1">
        <f>ROUNDDOWN(C7*0.75,0)</f>
        <v>7127250</v>
      </c>
    </row>
    <row r="53" spans="2:5" ht="13.5">
      <c r="B53" t="s">
        <v>43</v>
      </c>
      <c r="C53" s="1">
        <f>ROUNDDOWN(C26*0.7,0)</f>
        <v>205380</v>
      </c>
      <c r="D53" s="1">
        <f>ROUNDDOWN(D26*0.7,0)</f>
        <v>224980</v>
      </c>
      <c r="E53" s="1">
        <f>ROUNDDOWN(E26*0.7,0)</f>
        <v>237580</v>
      </c>
    </row>
    <row r="54" spans="2:5" ht="13.5">
      <c r="B54" t="s">
        <v>23</v>
      </c>
      <c r="C54" s="1">
        <f>SUM(C52:C53)</f>
        <v>7332630</v>
      </c>
      <c r="D54" s="1">
        <f>SUM(D52:D53)</f>
        <v>7352230</v>
      </c>
      <c r="E54" s="1">
        <f>SUM(E52:E53)</f>
        <v>7364830</v>
      </c>
    </row>
    <row r="55" spans="2:5" ht="13.5">
      <c r="B55" t="s">
        <v>44</v>
      </c>
      <c r="C55" s="1">
        <f>ROUNDDOWN(C30*0.7,0)</f>
        <v>2702000</v>
      </c>
      <c r="D55" s="1">
        <f>ROUNDDOWN(D30*0.7,0)</f>
        <v>2776900</v>
      </c>
      <c r="E55" s="1">
        <f>ROUNDDOWN(E30*0.7,0)</f>
        <v>2984800</v>
      </c>
    </row>
    <row r="56" spans="2:5" ht="13.5">
      <c r="B56" t="s">
        <v>28</v>
      </c>
      <c r="C56" s="1">
        <f>SUM(C54:C55)</f>
        <v>10034630</v>
      </c>
      <c r="D56" s="1">
        <f>SUM(D54:D55)</f>
        <v>10129130</v>
      </c>
      <c r="E56" s="1">
        <f>SUM(E54:E55)</f>
        <v>10349630</v>
      </c>
    </row>
    <row r="57" spans="2:5" ht="13.5">
      <c r="B57" t="s">
        <v>45</v>
      </c>
      <c r="C57" s="1">
        <f>ROUNDDOWN(C34*0.3,0)</f>
        <v>827018</v>
      </c>
      <c r="D57" s="1">
        <f>ROUNDDOWN(D34*0.3,0)</f>
        <v>834029</v>
      </c>
      <c r="E57" s="1">
        <f>ROUNDDOWN(E34*0.3,0)</f>
        <v>851131</v>
      </c>
    </row>
    <row r="58" spans="2:5" ht="13.5">
      <c r="B58" t="s">
        <v>32</v>
      </c>
      <c r="C58" s="1">
        <f>SUM(C56:C57)</f>
        <v>10861648</v>
      </c>
      <c r="D58" s="1">
        <f>SUM(D56:D57)</f>
        <v>10963159</v>
      </c>
      <c r="E58" s="1">
        <f>SUM(E56:E57)</f>
        <v>11200761</v>
      </c>
    </row>
    <row r="59" spans="3:5" ht="13.5">
      <c r="C59" s="8">
        <f>C58/C35</f>
        <v>0.6617658339247806</v>
      </c>
      <c r="D59" s="8">
        <f>D58/D35</f>
        <v>0.6615672078388573</v>
      </c>
      <c r="E59" s="8">
        <f>E58/E35</f>
        <v>0.6610651302038669</v>
      </c>
    </row>
    <row r="60" spans="3:5" ht="13.5">
      <c r="C60" s="6" t="s">
        <v>33</v>
      </c>
      <c r="D60" s="6" t="s">
        <v>34</v>
      </c>
      <c r="E60" s="6" t="s">
        <v>35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7">
      <selection activeCell="E37" sqref="E37"/>
    </sheetView>
  </sheetViews>
  <sheetFormatPr defaultColWidth="9.00390625" defaultRowHeight="13.5"/>
  <cols>
    <col min="1" max="1" width="2.125" style="0" customWidth="1"/>
    <col min="2" max="2" width="20.625" style="0" customWidth="1"/>
    <col min="3" max="3" width="19.625" style="0" customWidth="1"/>
    <col min="4" max="4" width="21.125" style="0" customWidth="1"/>
    <col min="5" max="5" width="19.625" style="0" customWidth="1"/>
    <col min="6" max="7" width="17.50390625" style="0" customWidth="1"/>
    <col min="8" max="8" width="19.00390625" style="0" customWidth="1"/>
  </cols>
  <sheetData>
    <row r="1" spans="1:4" ht="13.5">
      <c r="A1" t="s">
        <v>0</v>
      </c>
      <c r="C1" s="1"/>
      <c r="D1" s="1"/>
    </row>
    <row r="2" spans="2:4" ht="13.5">
      <c r="B2" t="s">
        <v>1</v>
      </c>
      <c r="C2" s="1"/>
      <c r="D2" s="1"/>
    </row>
    <row r="3" spans="2:4" ht="13.5">
      <c r="B3" t="s">
        <v>2</v>
      </c>
      <c r="C3" s="1"/>
      <c r="D3" s="1"/>
    </row>
    <row r="4" spans="2:4" ht="13.5">
      <c r="B4" t="s">
        <v>3</v>
      </c>
      <c r="C4" s="1"/>
      <c r="D4" s="1"/>
    </row>
    <row r="5" spans="3:4" ht="13.5">
      <c r="C5" s="1"/>
      <c r="D5" s="1"/>
    </row>
    <row r="6" spans="3:4" ht="13.5">
      <c r="C6" s="1"/>
      <c r="D6" s="1"/>
    </row>
    <row r="7" spans="2:5" ht="13.5">
      <c r="B7" t="s">
        <v>4</v>
      </c>
      <c r="C7" s="2">
        <v>50000000</v>
      </c>
      <c r="D7" s="2" t="s">
        <v>5</v>
      </c>
      <c r="E7" t="s">
        <v>6</v>
      </c>
    </row>
    <row r="8" spans="2:7" ht="13.5">
      <c r="B8" t="s">
        <v>7</v>
      </c>
      <c r="C8" s="2">
        <f>D8-E8</f>
        <v>590000</v>
      </c>
      <c r="D8" s="2">
        <v>2000000</v>
      </c>
      <c r="E8" s="1">
        <f>ROUNDDOWN(C20*0.03,0)</f>
        <v>1410000</v>
      </c>
      <c r="F8" s="3" t="s">
        <v>8</v>
      </c>
      <c r="G8" s="3"/>
    </row>
    <row r="9" spans="2:4" ht="13.5">
      <c r="B9" t="s">
        <v>9</v>
      </c>
      <c r="C9" s="2">
        <v>1000000</v>
      </c>
      <c r="D9" s="1"/>
    </row>
    <row r="10" spans="2:4" ht="13.5">
      <c r="B10" t="s">
        <v>11</v>
      </c>
      <c r="C10" s="2">
        <v>2000000</v>
      </c>
      <c r="D10" s="1"/>
    </row>
    <row r="11" spans="2:4" ht="13.5">
      <c r="B11" t="s">
        <v>12</v>
      </c>
      <c r="C11" s="2"/>
      <c r="D11" s="1"/>
    </row>
    <row r="12" spans="2:4" ht="13.5">
      <c r="B12" t="s">
        <v>12</v>
      </c>
      <c r="C12" s="2"/>
      <c r="D12" s="1"/>
    </row>
    <row r="13" spans="2:4" ht="13.5">
      <c r="B13" t="s">
        <v>12</v>
      </c>
      <c r="C13" s="2"/>
      <c r="D13" s="1"/>
    </row>
    <row r="14" spans="2:4" ht="13.5">
      <c r="B14" t="s">
        <v>12</v>
      </c>
      <c r="C14" s="2"/>
      <c r="D14" s="1"/>
    </row>
    <row r="15" spans="2:7" ht="13.5">
      <c r="B15" t="s">
        <v>13</v>
      </c>
      <c r="C15" s="4">
        <f>ROUND(11*POWER(C20,-0.138),2)</f>
        <v>0.96</v>
      </c>
      <c r="D15" s="4">
        <f>ROUND(11*POWER(D20,-0.138),2)</f>
        <v>0.96</v>
      </c>
      <c r="E15" s="5">
        <f>C15+1.5</f>
        <v>2.46</v>
      </c>
      <c r="F15" s="5">
        <f>C15+1.5</f>
        <v>2.46</v>
      </c>
      <c r="G15" s="5">
        <f>D15+1.5</f>
        <v>2.46</v>
      </c>
    </row>
    <row r="16" spans="3:4" ht="13.5">
      <c r="C16" s="1"/>
      <c r="D16" s="1"/>
    </row>
    <row r="17" spans="3:7" ht="13.5">
      <c r="C17" s="6" t="s">
        <v>46</v>
      </c>
      <c r="D17" s="6" t="s">
        <v>46</v>
      </c>
      <c r="E17" s="6" t="s">
        <v>46</v>
      </c>
      <c r="F17" s="6" t="s">
        <v>46</v>
      </c>
      <c r="G17" s="6" t="s">
        <v>46</v>
      </c>
    </row>
    <row r="18" spans="2:8" ht="13.5">
      <c r="B18" t="s">
        <v>4</v>
      </c>
      <c r="C18" s="1">
        <f>C7</f>
        <v>50000000</v>
      </c>
      <c r="D18" s="1">
        <f>C7</f>
        <v>50000000</v>
      </c>
      <c r="E18" s="1">
        <f>C7</f>
        <v>50000000</v>
      </c>
      <c r="F18" s="1">
        <f>C7</f>
        <v>50000000</v>
      </c>
      <c r="G18" s="1">
        <f>C7</f>
        <v>50000000</v>
      </c>
      <c r="H18" s="3" t="s">
        <v>17</v>
      </c>
    </row>
    <row r="19" spans="2:7" ht="13.5">
      <c r="B19" t="s">
        <v>15</v>
      </c>
      <c r="C19" s="1">
        <f>C8+C9+C10</f>
        <v>3590000</v>
      </c>
      <c r="D19" s="1">
        <f>C8+C9+C10</f>
        <v>3590000</v>
      </c>
      <c r="E19" s="1">
        <f>C8+C9+C10</f>
        <v>3590000</v>
      </c>
      <c r="F19" s="1">
        <f>C8+C9+C10</f>
        <v>3590000</v>
      </c>
      <c r="G19" s="1">
        <f>C8+C9+C10</f>
        <v>3590000</v>
      </c>
    </row>
    <row r="20" spans="2:7" ht="13.5">
      <c r="B20" t="s">
        <v>16</v>
      </c>
      <c r="C20" s="1">
        <f>C7-C9-C10</f>
        <v>47000000</v>
      </c>
      <c r="D20" s="1">
        <f>C7-C9-C10</f>
        <v>47000000</v>
      </c>
      <c r="E20" s="1">
        <f>C7-C9-C10</f>
        <v>47000000</v>
      </c>
      <c r="F20" s="1">
        <f>C7-C9-C10</f>
        <v>47000000</v>
      </c>
      <c r="G20" s="1">
        <f>C7-C9-C10</f>
        <v>47000000</v>
      </c>
    </row>
    <row r="21" spans="2:7" ht="13.5">
      <c r="B21" t="s">
        <v>18</v>
      </c>
      <c r="C21" s="1">
        <f>C7-C8-C9-C10</f>
        <v>46410000</v>
      </c>
      <c r="D21" s="1">
        <f>C7-C8-C9-C10</f>
        <v>46410000</v>
      </c>
      <c r="E21" s="1">
        <f>C7-C8-C9-C10</f>
        <v>46410000</v>
      </c>
      <c r="F21" s="1">
        <f>C7-C8-C9-C10</f>
        <v>46410000</v>
      </c>
      <c r="G21" s="1">
        <f>C7-C8-C9-C10</f>
        <v>46410000</v>
      </c>
    </row>
    <row r="22" spans="2:7" ht="13.5">
      <c r="B22" t="s">
        <v>19</v>
      </c>
      <c r="C22" s="4">
        <f>ROUND(435.1*POWER(C21,-0.2074),2)</f>
        <v>11.18</v>
      </c>
      <c r="D22" s="4">
        <f>ROUND(435.1*POWER(D21,-0.2074),2)+1.5</f>
        <v>12.68</v>
      </c>
      <c r="E22" s="4">
        <f>ROUND(435.1*POWER(E21,-0.2074),2)*1.3</f>
        <v>14.534</v>
      </c>
      <c r="F22" s="4">
        <f>ROUND(435.1*POWER(F21,-0.2074),2)*1.5</f>
        <v>16.77</v>
      </c>
      <c r="G22" s="4">
        <f>ROUND(435.1*POWER(G21,-0.2074),2)*2</f>
        <v>22.36</v>
      </c>
    </row>
    <row r="23" spans="2:7" ht="13.5">
      <c r="B23" t="s">
        <v>20</v>
      </c>
      <c r="C23" s="1">
        <f>ROUNDDOWN(C21*C22/100,-3)</f>
        <v>5188000</v>
      </c>
      <c r="D23" s="1">
        <f>ROUNDDOWN(D21*D22/100,-3)</f>
        <v>5884000</v>
      </c>
      <c r="E23" s="1">
        <f>ROUNDDOWN(E21*E22/100,-3)</f>
        <v>6745000</v>
      </c>
      <c r="F23" s="1">
        <f>ROUNDDOWN(F21*F22/100,-3)</f>
        <v>7782000</v>
      </c>
      <c r="G23" s="1">
        <f>ROUNDDOWN(G21*G22/100,-3)</f>
        <v>10377000</v>
      </c>
    </row>
    <row r="24" spans="2:8" ht="13.5">
      <c r="B24" t="s">
        <v>12</v>
      </c>
      <c r="C24" s="1">
        <f>SUM(C11:C14)</f>
        <v>0</v>
      </c>
      <c r="D24" s="1">
        <f>SUM(C11:C14)</f>
        <v>0</v>
      </c>
      <c r="E24" s="1">
        <f>SUM(C11:C14)</f>
        <v>0</v>
      </c>
      <c r="F24" s="1">
        <f>SUM(C11:C14)</f>
        <v>0</v>
      </c>
      <c r="G24" s="1">
        <f>SUM(D11:D14)</f>
        <v>0</v>
      </c>
      <c r="H24" s="3" t="s">
        <v>24</v>
      </c>
    </row>
    <row r="25" spans="2:7" ht="13.5">
      <c r="B25" t="s">
        <v>21</v>
      </c>
      <c r="C25" s="1"/>
      <c r="D25" s="1"/>
      <c r="E25" s="1"/>
      <c r="F25" s="1"/>
      <c r="G25" s="1"/>
    </row>
    <row r="26" spans="2:7" ht="13.5">
      <c r="B26" t="s">
        <v>22</v>
      </c>
      <c r="C26" s="1">
        <f>SUM(C23:C25)</f>
        <v>5188000</v>
      </c>
      <c r="D26" s="1">
        <f>SUM(D23:D25)</f>
        <v>5884000</v>
      </c>
      <c r="E26" s="1">
        <f>SUM(E23:E25)</f>
        <v>6745000</v>
      </c>
      <c r="F26" s="1">
        <f>SUM(F23:F25)</f>
        <v>7782000</v>
      </c>
      <c r="G26" s="1">
        <f>SUM(G23:G25)</f>
        <v>10377000</v>
      </c>
    </row>
    <row r="27" spans="2:7" ht="13.5">
      <c r="B27" t="s">
        <v>23</v>
      </c>
      <c r="C27" s="1">
        <f>C18+C26</f>
        <v>55188000</v>
      </c>
      <c r="D27" s="1">
        <f>D18+D26</f>
        <v>55884000</v>
      </c>
      <c r="E27" s="1">
        <f>E18+E26</f>
        <v>56745000</v>
      </c>
      <c r="F27" s="1">
        <f>F18+F26</f>
        <v>57782000</v>
      </c>
      <c r="G27" s="1">
        <f>G18+G26</f>
        <v>60377000</v>
      </c>
    </row>
    <row r="28" spans="2:7" ht="13.5">
      <c r="B28" t="s">
        <v>25</v>
      </c>
      <c r="C28" s="1">
        <f>C7+C26-C8-C10</f>
        <v>52598000</v>
      </c>
      <c r="D28" s="1">
        <f>C7+D26-C8-C10</f>
        <v>53294000</v>
      </c>
      <c r="E28" s="1">
        <f>C7+E26-C8-C10</f>
        <v>54155000</v>
      </c>
      <c r="F28" s="1">
        <f>C7+F26-C8-C10</f>
        <v>55192000</v>
      </c>
      <c r="G28" s="1">
        <f>C7+G26-C8-C10</f>
        <v>57787000</v>
      </c>
    </row>
    <row r="29" spans="2:7" ht="13.5">
      <c r="B29" t="s">
        <v>26</v>
      </c>
      <c r="C29" s="4">
        <f>ROUND(622.2*POWER(C28,-0.1751),2)</f>
        <v>27.67</v>
      </c>
      <c r="D29" s="4">
        <f>ROUND(622.2*POWER(D28,-0.1751),2)+1</f>
        <v>28.61</v>
      </c>
      <c r="E29" s="4">
        <f>ROUND(622.2*POWER(E28,-0.1751),2)*1.1</f>
        <v>30.283000000000005</v>
      </c>
      <c r="F29" s="4">
        <f>ROUND(622.2*POWER(F28,-0.1751),2)*1.2</f>
        <v>32.928</v>
      </c>
      <c r="G29" s="4">
        <f>ROUND(622.2*POWER(G28,-0.1751),2)*1.2</f>
        <v>32.663999999999994</v>
      </c>
    </row>
    <row r="30" spans="2:7" ht="13.5">
      <c r="B30" t="s">
        <v>27</v>
      </c>
      <c r="C30" s="1">
        <f>ROUNDDOWN(C28*C29/100,-3)</f>
        <v>14553000</v>
      </c>
      <c r="D30" s="1">
        <f>ROUNDDOWN(D28*D29/100,-3)</f>
        <v>15247000</v>
      </c>
      <c r="E30" s="1">
        <f>ROUNDDOWN(E28*E29/100,-3)</f>
        <v>16399000</v>
      </c>
      <c r="F30" s="1">
        <f>ROUNDDOWN(F28*F29/100,-3)</f>
        <v>18173000</v>
      </c>
      <c r="G30" s="1">
        <f>ROUNDDOWN(G28*G29/100,-3)</f>
        <v>18875000</v>
      </c>
    </row>
    <row r="31" spans="2:7" ht="13.5">
      <c r="B31" t="s">
        <v>28</v>
      </c>
      <c r="C31" s="1">
        <f>C27+C30</f>
        <v>69741000</v>
      </c>
      <c r="D31" s="1">
        <f>D27+D30</f>
        <v>71131000</v>
      </c>
      <c r="E31" s="1">
        <f>E27+E30</f>
        <v>73144000</v>
      </c>
      <c r="F31" s="1">
        <f>F27+F30</f>
        <v>75955000</v>
      </c>
      <c r="G31" s="1">
        <f>G27+G30</f>
        <v>79252000</v>
      </c>
    </row>
    <row r="32" spans="2:7" ht="13.5">
      <c r="B32" t="s">
        <v>29</v>
      </c>
      <c r="C32" s="1">
        <f>C18+C26+C30-C8</f>
        <v>69151000</v>
      </c>
      <c r="D32" s="1">
        <f>D18+D26+D30-C8</f>
        <v>70541000</v>
      </c>
      <c r="E32" s="1">
        <f>E18+E26+E30-C8</f>
        <v>72554000</v>
      </c>
      <c r="F32" s="1">
        <f>F18+F26+F30-C8</f>
        <v>75365000</v>
      </c>
      <c r="G32" s="1">
        <f>G18+G26+G30-C8</f>
        <v>78662000</v>
      </c>
    </row>
    <row r="33" spans="2:7" ht="13.5">
      <c r="B33" t="s">
        <v>30</v>
      </c>
      <c r="C33" s="4">
        <f>ROUND(-5.48972*LOG(C32,10)+59.4977,2)</f>
        <v>16.46</v>
      </c>
      <c r="D33" s="4">
        <f>ROUND(-5.48972*LOG(D32,10)+59.4977,2)</f>
        <v>16.41</v>
      </c>
      <c r="E33" s="4">
        <f>ROUND(-5.48972*LOG(E32,10)+59.4977,2)</f>
        <v>16.34</v>
      </c>
      <c r="F33" s="4">
        <f>ROUND(-5.48972*LOG(F32,10)+59.4977,2)</f>
        <v>16.25</v>
      </c>
      <c r="G33" s="4">
        <f>ROUND(-5.48972*LOG(G32,10)+59.4977,2)</f>
        <v>16.15</v>
      </c>
    </row>
    <row r="34" spans="2:7" ht="13.5">
      <c r="B34" t="s">
        <v>31</v>
      </c>
      <c r="C34" s="7">
        <f>ROUNDDOWN(C32*C33/100,0)</f>
        <v>11382254</v>
      </c>
      <c r="D34" s="7">
        <f>ROUNDDOWN(D32*D33/100,0)</f>
        <v>11575778</v>
      </c>
      <c r="E34" s="7">
        <f>ROUNDDOWN(E32*E33/100,0)</f>
        <v>11855323</v>
      </c>
      <c r="F34" s="7">
        <f>ROUNDDOWN(F32*F33/100,0)</f>
        <v>12246812</v>
      </c>
      <c r="G34" s="7">
        <f>ROUNDDOWN(G32*G33/100,0)</f>
        <v>12703913</v>
      </c>
    </row>
    <row r="35" spans="2:7" ht="13.5">
      <c r="B35" t="s">
        <v>32</v>
      </c>
      <c r="C35" s="1">
        <f>C32+C34+C8</f>
        <v>81123254</v>
      </c>
      <c r="D35" s="1">
        <f>D32+D34+C8</f>
        <v>82706778</v>
      </c>
      <c r="E35" s="1">
        <f>E32+E34+C8</f>
        <v>84999323</v>
      </c>
      <c r="F35" s="1">
        <f>F32+F34+C8</f>
        <v>88201812</v>
      </c>
      <c r="G35" s="1">
        <f>G32+G34+C8</f>
        <v>91955913</v>
      </c>
    </row>
    <row r="36" spans="3:7" ht="13.5">
      <c r="C36" s="6" t="s">
        <v>33</v>
      </c>
      <c r="D36" s="6" t="s">
        <v>34</v>
      </c>
      <c r="E36" s="6" t="s">
        <v>63</v>
      </c>
      <c r="F36" s="6" t="s">
        <v>47</v>
      </c>
      <c r="G36" s="6" t="s">
        <v>48</v>
      </c>
    </row>
    <row r="37" spans="3:4" ht="13.5">
      <c r="C37" s="1"/>
      <c r="D37" s="1"/>
    </row>
    <row r="38" spans="3:4" ht="13.5">
      <c r="C38" s="1"/>
      <c r="D38" s="1"/>
    </row>
    <row r="39" spans="3:4" ht="13.5">
      <c r="C39" s="1"/>
      <c r="D39" s="1"/>
    </row>
    <row r="40" spans="3:4" ht="13.5">
      <c r="C40" s="1"/>
      <c r="D40" s="1"/>
    </row>
    <row r="41" spans="3:7" ht="13.5">
      <c r="C41" t="s">
        <v>2</v>
      </c>
      <c r="D41" t="s">
        <v>2</v>
      </c>
      <c r="E41" t="s">
        <v>2</v>
      </c>
      <c r="F41" t="s">
        <v>2</v>
      </c>
      <c r="G41" t="s">
        <v>2</v>
      </c>
    </row>
    <row r="42" spans="2:8" ht="13.5">
      <c r="B42" t="s">
        <v>36</v>
      </c>
      <c r="C42" s="1">
        <f>ROUNDDOWN(C7*0.95,0)</f>
        <v>47500000</v>
      </c>
      <c r="D42" s="1">
        <f>ROUNDDOWN(C7*0.95,0)</f>
        <v>47500000</v>
      </c>
      <c r="E42" s="1">
        <f>ROUNDDOWN(C7*0.95,0)</f>
        <v>47500000</v>
      </c>
      <c r="F42" s="1">
        <f>ROUNDDOWN(C7*0.95,0)</f>
        <v>47500000</v>
      </c>
      <c r="G42" s="1">
        <f>ROUNDDOWN(C7*0.95,0)</f>
        <v>47500000</v>
      </c>
      <c r="H42" t="s">
        <v>49</v>
      </c>
    </row>
    <row r="43" spans="2:7" ht="13.5">
      <c r="B43" t="s">
        <v>37</v>
      </c>
      <c r="C43" s="1">
        <f>ROUNDDOWN(C26*0.9,0)</f>
        <v>4669200</v>
      </c>
      <c r="D43" s="1">
        <f>ROUNDDOWN(D26*0.9,0)</f>
        <v>5295600</v>
      </c>
      <c r="E43" s="1">
        <f>ROUNDDOWN(E26*0.9,0)</f>
        <v>6070500</v>
      </c>
      <c r="F43" s="1">
        <f>ROUNDDOWN(F26*0.9,0)</f>
        <v>7003800</v>
      </c>
      <c r="G43" s="1">
        <f>ROUNDDOWN(G26*0.9,0)</f>
        <v>9339300</v>
      </c>
    </row>
    <row r="44" spans="2:7" ht="13.5">
      <c r="B44" t="s">
        <v>23</v>
      </c>
      <c r="C44" s="1">
        <f>SUM(C42:C43)</f>
        <v>52169200</v>
      </c>
      <c r="D44" s="1">
        <f>SUM(D42:D43)</f>
        <v>52795600</v>
      </c>
      <c r="E44" s="1">
        <f>SUM(E42:E43)</f>
        <v>53570500</v>
      </c>
      <c r="F44" s="1">
        <f>SUM(F42:F43)</f>
        <v>54503800</v>
      </c>
      <c r="G44" s="1">
        <f>SUM(G42:G43)</f>
        <v>56839300</v>
      </c>
    </row>
    <row r="45" spans="2:7" ht="13.5">
      <c r="B45" t="s">
        <v>50</v>
      </c>
      <c r="C45" s="1">
        <f>ROUNDDOWN(C30*0.9,0)</f>
        <v>13097700</v>
      </c>
      <c r="D45" s="1">
        <f>ROUNDDOWN(D30*0.9,0)</f>
        <v>13722300</v>
      </c>
      <c r="E45" s="1">
        <f>ROUNDDOWN(E30*0.9,0)</f>
        <v>14759100</v>
      </c>
      <c r="F45" s="1">
        <f>ROUNDDOWN(F30*0.9,0)</f>
        <v>16355700</v>
      </c>
      <c r="G45" s="1">
        <f>ROUNDDOWN(G30*0.9,0)</f>
        <v>16987500</v>
      </c>
    </row>
    <row r="46" spans="2:7" ht="13.5">
      <c r="B46" t="s">
        <v>28</v>
      </c>
      <c r="C46" s="1">
        <f>SUM(C44:C45)</f>
        <v>65266900</v>
      </c>
      <c r="D46" s="1">
        <f>SUM(D44:D45)</f>
        <v>66517900</v>
      </c>
      <c r="E46" s="1">
        <f>SUM(E44:E45)</f>
        <v>68329600</v>
      </c>
      <c r="F46" s="1">
        <f>SUM(F44:F45)</f>
        <v>70859500</v>
      </c>
      <c r="G46" s="1">
        <f>SUM(G44:G45)</f>
        <v>73826800</v>
      </c>
    </row>
    <row r="47" spans="2:7" ht="13.5">
      <c r="B47" t="s">
        <v>39</v>
      </c>
      <c r="C47" s="1">
        <f>ROUNDDOWN(C34*0.55,0)</f>
        <v>6260239</v>
      </c>
      <c r="D47" s="1">
        <f>ROUNDDOWN(D34*0.55,0)</f>
        <v>6366677</v>
      </c>
      <c r="E47" s="1">
        <f>ROUNDDOWN(E34*0.55,0)</f>
        <v>6520427</v>
      </c>
      <c r="F47" s="1">
        <f>ROUNDDOWN(F34*0.55,0)</f>
        <v>6735746</v>
      </c>
      <c r="G47" s="1">
        <f>ROUNDDOWN(G34*0.55,0)</f>
        <v>6987152</v>
      </c>
    </row>
    <row r="48" spans="2:7" ht="13.5">
      <c r="B48" t="s">
        <v>32</v>
      </c>
      <c r="C48" s="1">
        <f>SUM(C46:C47)</f>
        <v>71527139</v>
      </c>
      <c r="D48" s="1">
        <f>SUM(D46:D47)</f>
        <v>72884577</v>
      </c>
      <c r="E48" s="1">
        <f>SUM(E46:E47)</f>
        <v>74850027</v>
      </c>
      <c r="F48" s="1">
        <f>SUM(F46:F47)</f>
        <v>77595246</v>
      </c>
      <c r="G48" s="1">
        <f>SUM(G46:G47)</f>
        <v>80813952</v>
      </c>
    </row>
    <row r="49" spans="3:8" ht="13.5">
      <c r="C49" s="8">
        <f>C48/C35</f>
        <v>0.8817094417834866</v>
      </c>
      <c r="D49" s="8">
        <f>D48/D35</f>
        <v>0.881240676550113</v>
      </c>
      <c r="E49" s="8">
        <f>E48/E35</f>
        <v>0.8805955666258659</v>
      </c>
      <c r="F49" s="8">
        <f>F48/F35</f>
        <v>0.8797466201714768</v>
      </c>
      <c r="G49" s="8">
        <f>G48/G35</f>
        <v>0.8788336645627128</v>
      </c>
      <c r="H49" t="s">
        <v>41</v>
      </c>
    </row>
    <row r="50" spans="3:7" ht="13.5">
      <c r="C50" s="1"/>
      <c r="D50" s="1"/>
      <c r="E50" s="1"/>
      <c r="F50" s="1"/>
      <c r="G50" s="1"/>
    </row>
    <row r="51" spans="3:6" ht="13.5">
      <c r="C51" t="s">
        <v>3</v>
      </c>
      <c r="D51" t="s">
        <v>3</v>
      </c>
      <c r="E51" t="s">
        <v>3</v>
      </c>
      <c r="F51" t="s">
        <v>3</v>
      </c>
    </row>
    <row r="52" spans="2:7" ht="13.5">
      <c r="B52" t="s">
        <v>42</v>
      </c>
      <c r="C52" s="1">
        <f>ROUNDDOWN(C7*0.75,0)</f>
        <v>37500000</v>
      </c>
      <c r="D52" s="1">
        <f>ROUNDDOWN(C7*0.75,0)</f>
        <v>37500000</v>
      </c>
      <c r="E52" s="1">
        <f>ROUNDDOWN(C7*0.75,0)</f>
        <v>37500000</v>
      </c>
      <c r="F52" s="1">
        <f>ROUNDDOWN(C7*0.75,0)</f>
        <v>37500000</v>
      </c>
      <c r="G52" s="1"/>
    </row>
    <row r="53" spans="2:7" ht="13.5">
      <c r="B53" t="s">
        <v>43</v>
      </c>
      <c r="C53" s="1">
        <f>ROUNDDOWN(C26*0.7,0)</f>
        <v>3631600</v>
      </c>
      <c r="D53" s="1">
        <f>ROUNDDOWN(D26*0.7,0)</f>
        <v>4118800</v>
      </c>
      <c r="E53" s="1">
        <f>ROUNDDOWN(E26*0.7,0)</f>
        <v>4721500</v>
      </c>
      <c r="F53" s="1">
        <f>ROUNDDOWN(F26*0.7,0)</f>
        <v>5447400</v>
      </c>
      <c r="G53" s="1"/>
    </row>
    <row r="54" spans="2:7" ht="13.5">
      <c r="B54" t="s">
        <v>23</v>
      </c>
      <c r="C54" s="1">
        <f>SUM(C52:C53)</f>
        <v>41131600</v>
      </c>
      <c r="D54" s="1">
        <f>SUM(D52:D53)</f>
        <v>41618800</v>
      </c>
      <c r="E54" s="1">
        <f>SUM(E52:E53)</f>
        <v>42221500</v>
      </c>
      <c r="F54" s="1">
        <f>SUM(F52:F53)</f>
        <v>42947400</v>
      </c>
      <c r="G54" s="1"/>
    </row>
    <row r="55" spans="2:7" ht="13.5">
      <c r="B55" t="s">
        <v>44</v>
      </c>
      <c r="C55" s="1">
        <f>ROUNDDOWN(C30*0.7,0)</f>
        <v>10187100</v>
      </c>
      <c r="D55" s="1">
        <f>ROUNDDOWN(D30*0.7,0)</f>
        <v>10672900</v>
      </c>
      <c r="E55" s="1">
        <f>ROUNDDOWN(E30*0.7,0)</f>
        <v>11479300</v>
      </c>
      <c r="F55" s="1">
        <f>ROUNDDOWN(F30*0.7,0)</f>
        <v>12721100</v>
      </c>
      <c r="G55" s="1"/>
    </row>
    <row r="56" spans="2:7" ht="13.5">
      <c r="B56" t="s">
        <v>28</v>
      </c>
      <c r="C56" s="1">
        <f>SUM(C54:C55)</f>
        <v>51318700</v>
      </c>
      <c r="D56" s="1">
        <f>SUM(D54:D55)</f>
        <v>52291700</v>
      </c>
      <c r="E56" s="1">
        <f>SUM(E54:E55)</f>
        <v>53700800</v>
      </c>
      <c r="F56" s="1">
        <f>SUM(F54:F55)</f>
        <v>55668500</v>
      </c>
      <c r="G56" s="1"/>
    </row>
    <row r="57" spans="2:7" ht="13.5">
      <c r="B57" t="s">
        <v>45</v>
      </c>
      <c r="C57" s="1">
        <f>ROUNDDOWN(C34*0.3,0)</f>
        <v>3414676</v>
      </c>
      <c r="D57" s="1">
        <f>ROUNDDOWN(D34*0.3,0)</f>
        <v>3472733</v>
      </c>
      <c r="E57" s="1">
        <f>ROUNDDOWN(E34*0.3,0)</f>
        <v>3556596</v>
      </c>
      <c r="F57" s="1">
        <f>ROUNDDOWN(F34*0.3,0)</f>
        <v>3674043</v>
      </c>
      <c r="G57" s="1"/>
    </row>
    <row r="58" spans="2:7" ht="13.5">
      <c r="B58" t="s">
        <v>32</v>
      </c>
      <c r="C58" s="1">
        <f>SUM(C56:C57)</f>
        <v>54733376</v>
      </c>
      <c r="D58" s="1">
        <f>SUM(D56:D57)</f>
        <v>55764433</v>
      </c>
      <c r="E58" s="1">
        <f>SUM(E56:E57)</f>
        <v>57257396</v>
      </c>
      <c r="F58" s="1">
        <f>SUM(F56:F57)</f>
        <v>59342543</v>
      </c>
      <c r="G58" s="1"/>
    </row>
    <row r="59" spans="3:7" ht="13.5">
      <c r="C59" s="8">
        <f>C58/C35</f>
        <v>0.6746940402563241</v>
      </c>
      <c r="D59" s="8">
        <f>D58/D35</f>
        <v>0.6742425995605825</v>
      </c>
      <c r="E59" s="8">
        <f>E58/E35</f>
        <v>0.6736217887288349</v>
      </c>
      <c r="F59" s="8">
        <f>F58/F35</f>
        <v>0.6728041256113877</v>
      </c>
      <c r="G59" s="8"/>
    </row>
    <row r="60" spans="3:7" ht="13.5">
      <c r="C60" s="6" t="s">
        <v>33</v>
      </c>
      <c r="D60" s="6" t="s">
        <v>34</v>
      </c>
      <c r="E60" s="6" t="s">
        <v>35</v>
      </c>
      <c r="F60" s="6" t="s">
        <v>51</v>
      </c>
      <c r="G60" s="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3">
      <selection activeCell="I39" sqref="I39"/>
    </sheetView>
  </sheetViews>
  <sheetFormatPr defaultColWidth="9.00390625" defaultRowHeight="13.5"/>
  <cols>
    <col min="1" max="1" width="2.125" style="0" customWidth="1"/>
    <col min="2" max="2" width="20.625" style="0" customWidth="1"/>
    <col min="3" max="5" width="19.625" style="0" customWidth="1"/>
    <col min="6" max="6" width="14.625" style="0" customWidth="1"/>
  </cols>
  <sheetData>
    <row r="1" spans="1:4" ht="13.5">
      <c r="A1" t="s">
        <v>0</v>
      </c>
      <c r="C1" s="1"/>
      <c r="D1" s="1"/>
    </row>
    <row r="2" spans="2:4" ht="13.5">
      <c r="B2" t="s">
        <v>1</v>
      </c>
      <c r="C2" s="1"/>
      <c r="D2" s="1"/>
    </row>
    <row r="3" spans="2:4" ht="13.5">
      <c r="B3" t="s">
        <v>2</v>
      </c>
      <c r="C3" s="1"/>
      <c r="D3" s="1"/>
    </row>
    <row r="4" spans="2:4" ht="13.5">
      <c r="B4" t="s">
        <v>3</v>
      </c>
      <c r="C4" s="1"/>
      <c r="D4" s="1"/>
    </row>
    <row r="5" spans="3:4" ht="13.5">
      <c r="C5" s="1"/>
      <c r="D5" s="1"/>
    </row>
    <row r="6" spans="3:4" ht="13.5">
      <c r="C6" s="1"/>
      <c r="D6" s="1"/>
    </row>
    <row r="7" spans="2:5" ht="13.5">
      <c r="B7" t="s">
        <v>4</v>
      </c>
      <c r="C7" s="2">
        <v>50000000</v>
      </c>
      <c r="D7" s="2" t="s">
        <v>5</v>
      </c>
      <c r="E7" t="s">
        <v>6</v>
      </c>
    </row>
    <row r="8" spans="2:6" ht="13.5">
      <c r="B8" t="s">
        <v>7</v>
      </c>
      <c r="C8" s="2">
        <f>D8-E8</f>
        <v>590000</v>
      </c>
      <c r="D8" s="2">
        <v>2000000</v>
      </c>
      <c r="E8" s="1">
        <f>ROUNDDOWN(C20*0.03,0)</f>
        <v>1410000</v>
      </c>
      <c r="F8" s="3" t="s">
        <v>8</v>
      </c>
    </row>
    <row r="9" spans="2:4" ht="13.5">
      <c r="B9" t="s">
        <v>9</v>
      </c>
      <c r="C9" s="2">
        <v>1000000</v>
      </c>
      <c r="D9" s="1"/>
    </row>
    <row r="10" spans="2:4" ht="13.5">
      <c r="B10" t="s">
        <v>11</v>
      </c>
      <c r="C10" s="2">
        <v>2000000</v>
      </c>
      <c r="D10" s="1"/>
    </row>
    <row r="11" spans="2:4" ht="13.5">
      <c r="B11" t="s">
        <v>12</v>
      </c>
      <c r="C11" s="2"/>
      <c r="D11" s="1"/>
    </row>
    <row r="12" spans="2:4" ht="13.5">
      <c r="B12" t="s">
        <v>12</v>
      </c>
      <c r="C12" s="2"/>
      <c r="D12" s="1"/>
    </row>
    <row r="13" spans="2:4" ht="13.5">
      <c r="B13" t="s">
        <v>12</v>
      </c>
      <c r="C13" s="2"/>
      <c r="D13" s="1"/>
    </row>
    <row r="14" spans="2:4" ht="13.5">
      <c r="B14" t="s">
        <v>12</v>
      </c>
      <c r="C14" s="2"/>
      <c r="D14" s="1"/>
    </row>
    <row r="15" spans="2:5" ht="13.5">
      <c r="B15" t="s">
        <v>13</v>
      </c>
      <c r="C15" s="4">
        <f>ROUND(11*POWER(C20,-0.138),2)</f>
        <v>0.96</v>
      </c>
      <c r="D15" s="4">
        <f>ROUND(11*POWER(D20,-0.138),2)</f>
        <v>0.96</v>
      </c>
      <c r="E15" s="5">
        <f>C15+1.5</f>
        <v>2.46</v>
      </c>
    </row>
    <row r="16" spans="3:4" ht="13.5">
      <c r="C16" s="1"/>
      <c r="D16" s="1"/>
    </row>
    <row r="17" spans="3:5" ht="13.5">
      <c r="C17" s="6" t="s">
        <v>52</v>
      </c>
      <c r="D17" s="6" t="s">
        <v>52</v>
      </c>
      <c r="E17" s="6" t="s">
        <v>52</v>
      </c>
    </row>
    <row r="18" spans="2:6" ht="13.5">
      <c r="B18" t="s">
        <v>4</v>
      </c>
      <c r="C18" s="1">
        <f>C7</f>
        <v>50000000</v>
      </c>
      <c r="D18" s="1">
        <f>C7</f>
        <v>50000000</v>
      </c>
      <c r="E18" s="1">
        <f>C7</f>
        <v>50000000</v>
      </c>
      <c r="F18" s="3" t="s">
        <v>53</v>
      </c>
    </row>
    <row r="19" spans="2:5" ht="13.5">
      <c r="B19" t="s">
        <v>15</v>
      </c>
      <c r="C19" s="1">
        <f>C8+C9+C10</f>
        <v>3590000</v>
      </c>
      <c r="D19" s="1">
        <f>C8+C9+C10</f>
        <v>3590000</v>
      </c>
      <c r="E19" s="1">
        <f>C8+C9+C10</f>
        <v>3590000</v>
      </c>
    </row>
    <row r="20" spans="2:5" ht="13.5">
      <c r="B20" t="s">
        <v>16</v>
      </c>
      <c r="C20" s="1">
        <f>C7-C9-C10</f>
        <v>47000000</v>
      </c>
      <c r="D20" s="1">
        <f>C7-C9-C10</f>
        <v>47000000</v>
      </c>
      <c r="E20" s="1">
        <f>C7-C9-C10</f>
        <v>47000000</v>
      </c>
    </row>
    <row r="21" spans="2:5" ht="13.5">
      <c r="B21" t="s">
        <v>18</v>
      </c>
      <c r="C21" s="1">
        <f>C7-C8-C9-C10</f>
        <v>46410000</v>
      </c>
      <c r="D21" s="1">
        <f>C7-C8-C9-C10</f>
        <v>46410000</v>
      </c>
      <c r="E21" s="1">
        <f>C7-C8-C9-C10</f>
        <v>46410000</v>
      </c>
    </row>
    <row r="22" spans="2:5" ht="13.5">
      <c r="B22" t="s">
        <v>19</v>
      </c>
      <c r="C22" s="4">
        <f>ROUND(26.8*POWER(C21,-0.0748),2)</f>
        <v>7.16</v>
      </c>
      <c r="D22" s="4">
        <f>ROUND(26.8*POWER(D21,-0.0748),2)+1.5</f>
        <v>8.66</v>
      </c>
      <c r="E22" s="4">
        <f>ROUND(26.8*POWER(E21,-0.0748),2)*1.2</f>
        <v>8.592</v>
      </c>
    </row>
    <row r="23" spans="2:5" ht="13.5">
      <c r="B23" t="s">
        <v>20</v>
      </c>
      <c r="C23" s="1">
        <f>ROUNDDOWN(C21*C22/100,-3)</f>
        <v>3322000</v>
      </c>
      <c r="D23" s="1">
        <f>ROUNDDOWN(D21*D22/100,-3)</f>
        <v>4019000</v>
      </c>
      <c r="E23" s="1">
        <f>ROUNDDOWN(E21*E22/100,-3)</f>
        <v>3987000</v>
      </c>
    </row>
    <row r="24" spans="2:6" ht="13.5">
      <c r="B24" t="s">
        <v>12</v>
      </c>
      <c r="C24" s="1">
        <f>SUM(C11:C14)</f>
        <v>0</v>
      </c>
      <c r="D24" s="1">
        <f>SUM(C11:C14)</f>
        <v>0</v>
      </c>
      <c r="E24" s="1">
        <f>SUM(C11:C14)</f>
        <v>0</v>
      </c>
      <c r="F24" s="3" t="s">
        <v>54</v>
      </c>
    </row>
    <row r="25" spans="2:5" ht="13.5">
      <c r="B25" t="s">
        <v>21</v>
      </c>
      <c r="C25" s="1"/>
      <c r="D25" s="1"/>
      <c r="E25" s="1"/>
    </row>
    <row r="26" spans="2:5" ht="13.5">
      <c r="B26" t="s">
        <v>22</v>
      </c>
      <c r="C26" s="1">
        <f>SUM(C23:C25)</f>
        <v>3322000</v>
      </c>
      <c r="D26" s="1">
        <f>SUM(D23:D25)</f>
        <v>4019000</v>
      </c>
      <c r="E26" s="1">
        <f>SUM(E23:E25)</f>
        <v>3987000</v>
      </c>
    </row>
    <row r="27" spans="2:5" ht="13.5">
      <c r="B27" t="s">
        <v>23</v>
      </c>
      <c r="C27" s="1">
        <f>C18+C26</f>
        <v>53322000</v>
      </c>
      <c r="D27" s="1">
        <f>D18+D26</f>
        <v>54019000</v>
      </c>
      <c r="E27" s="1">
        <f>E18+E26</f>
        <v>53987000</v>
      </c>
    </row>
    <row r="28" spans="2:5" ht="13.5">
      <c r="B28" t="s">
        <v>25</v>
      </c>
      <c r="C28" s="1">
        <f>C7+C26-C8-C10</f>
        <v>50732000</v>
      </c>
      <c r="D28" s="1">
        <f>C7+D26-C8-C10</f>
        <v>51429000</v>
      </c>
      <c r="E28" s="1">
        <f>C7+E26-C8-C10</f>
        <v>51397000</v>
      </c>
    </row>
    <row r="29" spans="2:5" ht="13.5">
      <c r="B29" t="s">
        <v>26</v>
      </c>
      <c r="C29" s="4">
        <f>ROUND(166.7*POWER(C28,-0.0962),2)</f>
        <v>30.25</v>
      </c>
      <c r="D29" s="4">
        <f>ROUND(166.7*POWER(D28,-0.0962),2)+1</f>
        <v>31.21</v>
      </c>
      <c r="E29" s="4">
        <f>ROUND(166.7*POWER(E28,-0.0962),2)*1.1</f>
        <v>33.231</v>
      </c>
    </row>
    <row r="30" spans="2:5" ht="13.5">
      <c r="B30" t="s">
        <v>27</v>
      </c>
      <c r="C30" s="1">
        <f>ROUNDDOWN(C28*C29/100,-3)</f>
        <v>15346000</v>
      </c>
      <c r="D30" s="1">
        <f>ROUNDDOWN(D28*D29/100,-3)</f>
        <v>16050000</v>
      </c>
      <c r="E30" s="1">
        <f>ROUNDDOWN(E28*E29/100,-3)</f>
        <v>17079000</v>
      </c>
    </row>
    <row r="31" spans="2:5" ht="13.5">
      <c r="B31" t="s">
        <v>28</v>
      </c>
      <c r="C31" s="1">
        <f>C27+C30</f>
        <v>68668000</v>
      </c>
      <c r="D31" s="1">
        <f>D27+D30</f>
        <v>70069000</v>
      </c>
      <c r="E31" s="1">
        <f>E27+E30</f>
        <v>71066000</v>
      </c>
    </row>
    <row r="32" spans="2:5" ht="13.5">
      <c r="B32" t="s">
        <v>29</v>
      </c>
      <c r="C32" s="1">
        <f>C18+C26+C30-C8</f>
        <v>68078000</v>
      </c>
      <c r="D32" s="1">
        <f>D18+D26+D30-C8</f>
        <v>69479000</v>
      </c>
      <c r="E32" s="1">
        <f>E18+E26+E30-C8</f>
        <v>70476000</v>
      </c>
    </row>
    <row r="33" spans="2:5" ht="13.5">
      <c r="B33" t="s">
        <v>30</v>
      </c>
      <c r="C33" s="4">
        <f>ROUND(-5.48972*LOG(C32,10)+59.4977,2)</f>
        <v>16.5</v>
      </c>
      <c r="D33" s="4">
        <f>ROUND(-5.48972*LOG(D32,10)+59.4977,2)</f>
        <v>16.45</v>
      </c>
      <c r="E33" s="4">
        <f>ROUND(-5.48972*LOG(E32,10)+59.4977,2)</f>
        <v>16.41</v>
      </c>
    </row>
    <row r="34" spans="2:5" ht="13.5">
      <c r="B34" t="s">
        <v>31</v>
      </c>
      <c r="C34" s="7">
        <f>ROUNDDOWN(C32*C33/100,0)</f>
        <v>11232870</v>
      </c>
      <c r="D34" s="7">
        <f>ROUNDDOWN(D32*D33/100,0)</f>
        <v>11429295</v>
      </c>
      <c r="E34" s="7">
        <f>ROUNDDOWN(E32*E33/100,0)</f>
        <v>11565111</v>
      </c>
    </row>
    <row r="35" spans="2:5" ht="13.5">
      <c r="B35" t="s">
        <v>32</v>
      </c>
      <c r="C35" s="1">
        <f>C32+C34+C8</f>
        <v>79900870</v>
      </c>
      <c r="D35" s="1">
        <f>D32+D34+C8</f>
        <v>81498295</v>
      </c>
      <c r="E35" s="1">
        <f>E32+E34+C8</f>
        <v>82631111</v>
      </c>
    </row>
    <row r="36" spans="3:5" ht="13.5">
      <c r="C36" s="6" t="s">
        <v>33</v>
      </c>
      <c r="D36" s="6" t="s">
        <v>34</v>
      </c>
      <c r="E36" s="6" t="s">
        <v>62</v>
      </c>
    </row>
    <row r="37" spans="3:4" ht="13.5">
      <c r="C37" s="1"/>
      <c r="D37" s="1"/>
    </row>
    <row r="38" spans="3:4" ht="13.5">
      <c r="C38" s="1"/>
      <c r="D38" s="1"/>
    </row>
    <row r="39" spans="3:4" ht="13.5">
      <c r="C39" s="1"/>
      <c r="D39" s="1"/>
    </row>
    <row r="40" spans="3:4" ht="13.5">
      <c r="C40" s="1"/>
      <c r="D40" s="1"/>
    </row>
    <row r="41" spans="3:5" ht="13.5">
      <c r="C41" t="s">
        <v>2</v>
      </c>
      <c r="D41" t="s">
        <v>2</v>
      </c>
      <c r="E41" t="s">
        <v>2</v>
      </c>
    </row>
    <row r="42" spans="2:6" ht="13.5">
      <c r="B42" t="s">
        <v>36</v>
      </c>
      <c r="C42" s="1">
        <f>ROUNDDOWN(C7*0.95,0)</f>
        <v>47500000</v>
      </c>
      <c r="D42" s="1">
        <f>ROUNDDOWN(C7*0.95,0)</f>
        <v>47500000</v>
      </c>
      <c r="E42" s="1">
        <f>ROUNDDOWN(C7*0.95,0)</f>
        <v>47500000</v>
      </c>
      <c r="F42" t="s">
        <v>49</v>
      </c>
    </row>
    <row r="43" spans="2:5" ht="13.5">
      <c r="B43" t="s">
        <v>37</v>
      </c>
      <c r="C43" s="1">
        <f>ROUNDDOWN(C26*0.9,0)</f>
        <v>2989800</v>
      </c>
      <c r="D43" s="1">
        <f>ROUNDDOWN(D26*0.9,0)</f>
        <v>3617100</v>
      </c>
      <c r="E43" s="1">
        <f>ROUNDDOWN(E26*0.9,0)</f>
        <v>3588300</v>
      </c>
    </row>
    <row r="44" spans="2:5" ht="13.5">
      <c r="B44" t="s">
        <v>23</v>
      </c>
      <c r="C44" s="1">
        <f>SUM(C42:C43)</f>
        <v>50489800</v>
      </c>
      <c r="D44" s="1">
        <f>SUM(D42:D43)</f>
        <v>51117100</v>
      </c>
      <c r="E44" s="1">
        <f>SUM(E42:E43)</f>
        <v>51088300</v>
      </c>
    </row>
    <row r="45" spans="2:5" ht="13.5">
      <c r="B45" t="s">
        <v>38</v>
      </c>
      <c r="C45" s="1">
        <f>ROUNDDOWN(C30*0.9,0)</f>
        <v>13811400</v>
      </c>
      <c r="D45" s="1">
        <f>ROUNDDOWN(D30*0.9,0)</f>
        <v>14445000</v>
      </c>
      <c r="E45" s="1">
        <f>ROUNDDOWN(E30*0.9,0)</f>
        <v>15371100</v>
      </c>
    </row>
    <row r="46" spans="2:5" ht="13.5">
      <c r="B46" t="s">
        <v>28</v>
      </c>
      <c r="C46" s="1">
        <f>SUM(C44:C45)</f>
        <v>64301200</v>
      </c>
      <c r="D46" s="1">
        <f>SUM(D44:D45)</f>
        <v>65562100</v>
      </c>
      <c r="E46" s="1">
        <f>SUM(E44:E45)</f>
        <v>66459400</v>
      </c>
    </row>
    <row r="47" spans="2:5" ht="13.5">
      <c r="B47" t="s">
        <v>39</v>
      </c>
      <c r="C47" s="1">
        <f>ROUNDDOWN(C34*0.55,0)</f>
        <v>6178078</v>
      </c>
      <c r="D47" s="1">
        <f>ROUNDDOWN(D34*0.55,0)</f>
        <v>6286112</v>
      </c>
      <c r="E47" s="1">
        <f>ROUNDDOWN(E34*0.55,0)</f>
        <v>6360811</v>
      </c>
    </row>
    <row r="48" spans="2:5" ht="13.5">
      <c r="B48" t="s">
        <v>32</v>
      </c>
      <c r="C48" s="1">
        <f>SUM(C46:C47)</f>
        <v>70479278</v>
      </c>
      <c r="D48" s="1">
        <f>SUM(D46:D47)</f>
        <v>71848212</v>
      </c>
      <c r="E48" s="1">
        <f>SUM(E46:E47)</f>
        <v>72820211</v>
      </c>
    </row>
    <row r="49" spans="3:6" ht="13.5">
      <c r="C49" s="8">
        <f>C48/C35</f>
        <v>0.8820839873207889</v>
      </c>
      <c r="D49" s="8">
        <f>D48/D35</f>
        <v>0.8815915964867731</v>
      </c>
      <c r="E49" s="8">
        <f>E48/E35</f>
        <v>0.8812686906751139</v>
      </c>
      <c r="F49" t="s">
        <v>41</v>
      </c>
    </row>
    <row r="50" spans="3:5" ht="13.5">
      <c r="C50" s="1"/>
      <c r="D50" s="1"/>
      <c r="E50" s="1"/>
    </row>
    <row r="51" spans="3:5" ht="13.5">
      <c r="C51" t="s">
        <v>3</v>
      </c>
      <c r="D51" t="s">
        <v>3</v>
      </c>
      <c r="E51" t="s">
        <v>3</v>
      </c>
    </row>
    <row r="52" spans="2:5" ht="13.5">
      <c r="B52" t="s">
        <v>42</v>
      </c>
      <c r="C52" s="1">
        <f>ROUNDDOWN(C7*0.75,0)</f>
        <v>37500000</v>
      </c>
      <c r="D52" s="1">
        <f>ROUNDDOWN(C7*0.75,0)</f>
        <v>37500000</v>
      </c>
      <c r="E52" s="1">
        <f>ROUNDDOWN(C7*0.75,0)</f>
        <v>37500000</v>
      </c>
    </row>
    <row r="53" spans="2:5" ht="13.5">
      <c r="B53" t="s">
        <v>43</v>
      </c>
      <c r="C53" s="1">
        <f>ROUNDDOWN(C26*0.7,0)</f>
        <v>2325400</v>
      </c>
      <c r="D53" s="1">
        <f>ROUNDDOWN(D26*0.7,0)</f>
        <v>2813300</v>
      </c>
      <c r="E53" s="1">
        <f>ROUNDDOWN(E26*0.7,0)</f>
        <v>2790900</v>
      </c>
    </row>
    <row r="54" spans="2:5" ht="13.5">
      <c r="B54" t="s">
        <v>23</v>
      </c>
      <c r="C54" s="1">
        <f>SUM(C52:C53)</f>
        <v>39825400</v>
      </c>
      <c r="D54" s="1">
        <f>SUM(D52:D53)</f>
        <v>40313300</v>
      </c>
      <c r="E54" s="1">
        <f>SUM(E52:E53)</f>
        <v>40290900</v>
      </c>
    </row>
    <row r="55" spans="2:5" ht="13.5">
      <c r="B55" t="s">
        <v>44</v>
      </c>
      <c r="C55" s="1">
        <f>ROUNDDOWN(C30*0.7,0)</f>
        <v>10742200</v>
      </c>
      <c r="D55" s="1">
        <f>ROUNDDOWN(D30*0.7,0)</f>
        <v>11235000</v>
      </c>
      <c r="E55" s="1">
        <f>ROUNDDOWN(E30*0.7,0)</f>
        <v>11955300</v>
      </c>
    </row>
    <row r="56" spans="2:5" ht="13.5">
      <c r="B56" t="s">
        <v>28</v>
      </c>
      <c r="C56" s="1">
        <f>SUM(C54:C55)</f>
        <v>50567600</v>
      </c>
      <c r="D56" s="1">
        <f>SUM(D54:D55)</f>
        <v>51548300</v>
      </c>
      <c r="E56" s="1">
        <f>SUM(E54:E55)</f>
        <v>52246200</v>
      </c>
    </row>
    <row r="57" spans="2:5" ht="13.5">
      <c r="B57" t="s">
        <v>45</v>
      </c>
      <c r="C57" s="1">
        <f>ROUNDDOWN(C34*0.3,0)</f>
        <v>3369861</v>
      </c>
      <c r="D57" s="1">
        <f>ROUNDDOWN(D34*0.3,0)</f>
        <v>3428788</v>
      </c>
      <c r="E57" s="1">
        <f>ROUNDDOWN(E34*0.3,0)</f>
        <v>3469533</v>
      </c>
    </row>
    <row r="58" spans="2:5" ht="13.5">
      <c r="B58" t="s">
        <v>32</v>
      </c>
      <c r="C58" s="1">
        <f>SUM(C56:C57)</f>
        <v>53937461</v>
      </c>
      <c r="D58" s="1">
        <f>SUM(D56:D57)</f>
        <v>54977088</v>
      </c>
      <c r="E58" s="1">
        <f>SUM(E56:E57)</f>
        <v>55715733</v>
      </c>
    </row>
    <row r="59" spans="3:5" ht="13.5">
      <c r="C59" s="8">
        <f>C58/C35</f>
        <v>0.6750547397043362</v>
      </c>
      <c r="D59" s="8">
        <f>D58/D35</f>
        <v>0.6745796093034829</v>
      </c>
      <c r="E59" s="8">
        <f>E58/E35</f>
        <v>0.674270650917425</v>
      </c>
    </row>
    <row r="60" spans="3:5" ht="13.5">
      <c r="C60" s="6" t="s">
        <v>33</v>
      </c>
      <c r="D60" s="6" t="s">
        <v>34</v>
      </c>
      <c r="E60" s="6" t="s">
        <v>35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0">
      <selection activeCell="J35" sqref="J35"/>
    </sheetView>
  </sheetViews>
  <sheetFormatPr defaultColWidth="9.00390625" defaultRowHeight="13.5"/>
  <cols>
    <col min="1" max="1" width="2.125" style="0" customWidth="1"/>
    <col min="2" max="2" width="20.625" style="0" customWidth="1"/>
    <col min="3" max="5" width="19.625" style="0" customWidth="1"/>
    <col min="6" max="7" width="14.625" style="0" customWidth="1"/>
    <col min="8" max="8" width="12.25390625" style="0" customWidth="1"/>
  </cols>
  <sheetData>
    <row r="1" spans="1:4" ht="13.5">
      <c r="A1" t="s">
        <v>0</v>
      </c>
      <c r="C1" s="1"/>
      <c r="D1" s="1"/>
    </row>
    <row r="2" spans="2:4" ht="13.5">
      <c r="B2" t="s">
        <v>1</v>
      </c>
      <c r="C2" s="1"/>
      <c r="D2" s="1"/>
    </row>
    <row r="3" spans="2:4" ht="13.5">
      <c r="B3" t="s">
        <v>2</v>
      </c>
      <c r="C3" s="1"/>
      <c r="D3" s="1"/>
    </row>
    <row r="4" spans="2:4" ht="13.5">
      <c r="B4" t="s">
        <v>3</v>
      </c>
      <c r="C4" s="1"/>
      <c r="D4" s="1"/>
    </row>
    <row r="5" spans="3:4" ht="13.5">
      <c r="C5" s="1"/>
      <c r="D5" s="1"/>
    </row>
    <row r="6" spans="3:4" ht="13.5">
      <c r="C6" s="1"/>
      <c r="D6" s="1"/>
    </row>
    <row r="7" spans="2:5" ht="13.5">
      <c r="B7" t="s">
        <v>4</v>
      </c>
      <c r="C7" s="2">
        <v>4496836</v>
      </c>
      <c r="D7" s="2" t="s">
        <v>5</v>
      </c>
      <c r="E7" t="s">
        <v>6</v>
      </c>
    </row>
    <row r="8" spans="2:7" ht="13.5">
      <c r="B8" t="s">
        <v>7</v>
      </c>
      <c r="C8" s="2">
        <f>D8-E8</f>
        <v>0</v>
      </c>
      <c r="D8" s="2">
        <v>134905</v>
      </c>
      <c r="E8" s="1">
        <f>ROUNDDOWN(C20*0.03,0)</f>
        <v>134905</v>
      </c>
      <c r="F8" s="3" t="s">
        <v>8</v>
      </c>
      <c r="G8" s="3" t="s">
        <v>8</v>
      </c>
    </row>
    <row r="9" spans="2:4" ht="13.5">
      <c r="B9" t="s">
        <v>9</v>
      </c>
      <c r="C9" s="2"/>
      <c r="D9" s="1"/>
    </row>
    <row r="10" spans="2:4" ht="13.5">
      <c r="B10" t="s">
        <v>11</v>
      </c>
      <c r="C10" s="2"/>
      <c r="D10" s="1"/>
    </row>
    <row r="11" spans="2:4" ht="13.5">
      <c r="B11" t="s">
        <v>12</v>
      </c>
      <c r="C11" s="2">
        <v>236600</v>
      </c>
      <c r="D11" s="1"/>
    </row>
    <row r="12" spans="2:4" ht="13.5">
      <c r="B12" t="s">
        <v>12</v>
      </c>
      <c r="C12" s="2"/>
      <c r="D12" s="1"/>
    </row>
    <row r="13" spans="2:4" ht="13.5">
      <c r="B13" t="s">
        <v>12</v>
      </c>
      <c r="C13" s="2"/>
      <c r="D13" s="1"/>
    </row>
    <row r="14" spans="2:4" ht="13.5">
      <c r="B14" t="s">
        <v>12</v>
      </c>
      <c r="C14" s="2"/>
      <c r="D14" s="1"/>
    </row>
    <row r="15" spans="2:7" ht="13.5">
      <c r="B15" t="s">
        <v>13</v>
      </c>
      <c r="C15" s="4">
        <f>ROUND(11*POWER(C20,-0.138),2)</f>
        <v>1.33</v>
      </c>
      <c r="D15" s="4">
        <f>ROUND(11*POWER(D20,-0.138),2)</f>
        <v>1.33</v>
      </c>
      <c r="E15" s="5">
        <f>C15+1.5</f>
        <v>2.83</v>
      </c>
      <c r="F15" s="5">
        <f>C15+1.5</f>
        <v>2.83</v>
      </c>
      <c r="G15" s="5">
        <f>D15+1.5</f>
        <v>2.83</v>
      </c>
    </row>
    <row r="16" spans="3:4" ht="13.5">
      <c r="C16" s="1"/>
      <c r="D16" s="1"/>
    </row>
    <row r="17" spans="3:7" ht="13.5">
      <c r="C17" s="6" t="s">
        <v>55</v>
      </c>
      <c r="D17" s="6" t="s">
        <v>55</v>
      </c>
      <c r="E17" s="6" t="s">
        <v>55</v>
      </c>
      <c r="F17" s="6" t="s">
        <v>55</v>
      </c>
      <c r="G17" s="6" t="s">
        <v>55</v>
      </c>
    </row>
    <row r="18" spans="2:7" ht="13.5">
      <c r="B18" t="s">
        <v>4</v>
      </c>
      <c r="C18" s="1">
        <f>C7</f>
        <v>4496836</v>
      </c>
      <c r="D18" s="1">
        <f>C7</f>
        <v>4496836</v>
      </c>
      <c r="E18" s="1">
        <f>C7</f>
        <v>4496836</v>
      </c>
      <c r="F18" s="1">
        <f>C7</f>
        <v>4496836</v>
      </c>
      <c r="G18" s="1">
        <f>C7</f>
        <v>4496836</v>
      </c>
    </row>
    <row r="19" spans="2:7" ht="13.5">
      <c r="B19" t="s">
        <v>15</v>
      </c>
      <c r="C19" s="1">
        <f>C8+C9+C10</f>
        <v>0</v>
      </c>
      <c r="D19" s="1">
        <f>C8+C9+C10</f>
        <v>0</v>
      </c>
      <c r="E19" s="1">
        <f>C8+C9+C10</f>
        <v>0</v>
      </c>
      <c r="F19" s="1">
        <f>C8+C9+C10</f>
        <v>0</v>
      </c>
      <c r="G19" s="1">
        <f>C8+C9+C10</f>
        <v>0</v>
      </c>
    </row>
    <row r="20" spans="2:7" ht="13.5">
      <c r="B20" t="s">
        <v>16</v>
      </c>
      <c r="C20" s="1">
        <f>C7-C9-C10</f>
        <v>4496836</v>
      </c>
      <c r="D20" s="1">
        <f>C7-C9-C10</f>
        <v>4496836</v>
      </c>
      <c r="E20" s="1">
        <f>C7-C9-C10</f>
        <v>4496836</v>
      </c>
      <c r="F20" s="1">
        <f>C7-C9-C10</f>
        <v>4496836</v>
      </c>
      <c r="G20" s="1">
        <f>C7-C9-C10</f>
        <v>4496836</v>
      </c>
    </row>
    <row r="21" spans="2:7" ht="13.5">
      <c r="B21" t="s">
        <v>18</v>
      </c>
      <c r="C21" s="1">
        <f>C7-C8-C9-C10</f>
        <v>4496836</v>
      </c>
      <c r="D21" s="1">
        <f>C7-C8-C9-C10</f>
        <v>4496836</v>
      </c>
      <c r="E21" s="1">
        <f>C7-C8-C9-C10</f>
        <v>4496836</v>
      </c>
      <c r="F21" s="1">
        <f>C7-C8-C9-C10</f>
        <v>4496836</v>
      </c>
      <c r="G21" s="1">
        <f>C7-C8-C9-C10</f>
        <v>4496836</v>
      </c>
    </row>
    <row r="22" spans="2:7" ht="13.5">
      <c r="B22" t="s">
        <v>19</v>
      </c>
      <c r="C22" s="4">
        <f>ROUND(4118.1*POWER(C21,-0.3548),2)</f>
        <v>17.96</v>
      </c>
      <c r="D22" s="4">
        <f>ROUND(4118.1*POWER(D21,-0.3548),2)+1.5</f>
        <v>19.46</v>
      </c>
      <c r="E22" s="4">
        <f>ROUND(4118.1*POWER(E21,-0.3548),2)*1.3</f>
        <v>23.348000000000003</v>
      </c>
      <c r="F22" s="4">
        <f>ROUND(4118.1*POWER(F21,-0.3548),2)*1.5</f>
        <v>26.94</v>
      </c>
      <c r="G22" s="4">
        <f>ROUND(4118.1*POWER(G21,-0.3548),2)*2</f>
        <v>35.92</v>
      </c>
    </row>
    <row r="23" spans="2:7" ht="13.5">
      <c r="B23" t="s">
        <v>20</v>
      </c>
      <c r="C23" s="1">
        <f>ROUNDDOWN(C21*C22/100,-3)</f>
        <v>807000</v>
      </c>
      <c r="D23" s="1">
        <f>ROUNDDOWN(D21*D22/100,-3)</f>
        <v>875000</v>
      </c>
      <c r="E23" s="1">
        <f>ROUNDDOWN(E21*E22/100,-3)</f>
        <v>1049000</v>
      </c>
      <c r="F23" s="1">
        <f>ROUNDDOWN(F21*F22/100,-3)</f>
        <v>1211000</v>
      </c>
      <c r="G23" s="1">
        <f>ROUNDDOWN(G21*G22/100,-3)</f>
        <v>1615000</v>
      </c>
    </row>
    <row r="24" spans="2:7" ht="13.5">
      <c r="B24" t="s">
        <v>12</v>
      </c>
      <c r="C24" s="1">
        <f>SUM(C11:C14)</f>
        <v>236600</v>
      </c>
      <c r="D24" s="1">
        <f>SUM(C11:C14)</f>
        <v>236600</v>
      </c>
      <c r="E24" s="1">
        <f>SUM(C11:C14)</f>
        <v>236600</v>
      </c>
      <c r="F24" s="1">
        <f>SUM(C11:C14)</f>
        <v>236600</v>
      </c>
      <c r="G24" s="1">
        <f>SUM(C11:C14)</f>
        <v>236600</v>
      </c>
    </row>
    <row r="25" spans="2:7" ht="13.5">
      <c r="B25" t="s">
        <v>21</v>
      </c>
      <c r="C25" s="1"/>
      <c r="D25" s="1"/>
      <c r="E25" s="1"/>
      <c r="F25" s="1"/>
      <c r="G25" s="1"/>
    </row>
    <row r="26" spans="2:7" ht="13.5">
      <c r="B26" t="s">
        <v>22</v>
      </c>
      <c r="C26" s="1">
        <f>SUM(C23:C25)</f>
        <v>1043600</v>
      </c>
      <c r="D26" s="1">
        <f>SUM(D23:D25)</f>
        <v>1111600</v>
      </c>
      <c r="E26" s="1">
        <f>SUM(E23:E25)</f>
        <v>1285600</v>
      </c>
      <c r="F26" s="1">
        <f>SUM(F23:F25)</f>
        <v>1447600</v>
      </c>
      <c r="G26" s="1">
        <f>SUM(G23:G25)</f>
        <v>1851600</v>
      </c>
    </row>
    <row r="27" spans="2:7" ht="13.5">
      <c r="B27" t="s">
        <v>23</v>
      </c>
      <c r="C27" s="1">
        <f>C18+C26</f>
        <v>5540436</v>
      </c>
      <c r="D27" s="1">
        <f>D18+D26</f>
        <v>5608436</v>
      </c>
      <c r="E27" s="1">
        <f>E18+E26</f>
        <v>5782436</v>
      </c>
      <c r="F27" s="1">
        <f>F18+F26</f>
        <v>5944436</v>
      </c>
      <c r="G27" s="1">
        <f>G18+G26</f>
        <v>6348436</v>
      </c>
    </row>
    <row r="28" spans="2:7" ht="13.5">
      <c r="B28" t="s">
        <v>25</v>
      </c>
      <c r="C28" s="1">
        <f>C7+C26-C8-C10</f>
        <v>5540436</v>
      </c>
      <c r="D28" s="1">
        <f>C7+D26-C8-C10</f>
        <v>5608436</v>
      </c>
      <c r="E28" s="1">
        <f>C7+E26-C8-C10</f>
        <v>5782436</v>
      </c>
      <c r="F28" s="1">
        <f>C7+F26-C8-C10</f>
        <v>5944436</v>
      </c>
      <c r="G28" s="1">
        <f>C7+G26-C8-C10</f>
        <v>6348436</v>
      </c>
    </row>
    <row r="29" spans="2:7" ht="13.5">
      <c r="B29" t="s">
        <v>26</v>
      </c>
      <c r="C29" s="4">
        <f>ROUND(605.1*POWER(C28,-0.1609),2)</f>
        <v>49.75</v>
      </c>
      <c r="D29" s="4">
        <f>ROUND(605.1*POWER(D28,-0.1609),2)+1</f>
        <v>50.65</v>
      </c>
      <c r="E29" s="4">
        <f>ROUND(605.1*POWER(E28,-0.1609),2)*1.1</f>
        <v>54.351</v>
      </c>
      <c r="F29" s="4">
        <f>ROUND(605.1*POWER(F28,-0.1609),2)*1.2</f>
        <v>59.02799999999999</v>
      </c>
      <c r="G29" s="4">
        <f>ROUND(605.1*POWER(G28,-0.1609),2)*1.2</f>
        <v>58.403999999999996</v>
      </c>
    </row>
    <row r="30" spans="2:7" ht="13.5">
      <c r="B30" t="s">
        <v>27</v>
      </c>
      <c r="C30" s="1">
        <f>ROUNDDOWN(C28*C29/100,-3)</f>
        <v>2756000</v>
      </c>
      <c r="D30" s="1">
        <f>ROUNDDOWN(D28*D29/100,-3)</f>
        <v>2840000</v>
      </c>
      <c r="E30" s="1">
        <f>ROUNDDOWN(E28*E29/100,-3)</f>
        <v>3142000</v>
      </c>
      <c r="F30" s="1">
        <f>ROUNDDOWN(F28*F29/100,-3)</f>
        <v>3508000</v>
      </c>
      <c r="G30" s="1">
        <f>ROUNDDOWN(G28*G29/100,-3)</f>
        <v>3707000</v>
      </c>
    </row>
    <row r="31" spans="2:7" ht="13.5">
      <c r="B31" t="s">
        <v>28</v>
      </c>
      <c r="C31" s="1">
        <f>C27+C30</f>
        <v>8296436</v>
      </c>
      <c r="D31" s="1">
        <f>D27+D30</f>
        <v>8448436</v>
      </c>
      <c r="E31" s="1">
        <f>E27+E30</f>
        <v>8924436</v>
      </c>
      <c r="F31" s="1">
        <f>F27+F30</f>
        <v>9452436</v>
      </c>
      <c r="G31" s="1">
        <f>G27+G30</f>
        <v>10055436</v>
      </c>
    </row>
    <row r="32" spans="2:7" ht="13.5">
      <c r="B32" t="s">
        <v>29</v>
      </c>
      <c r="C32" s="1">
        <f>C18+C26+C30-C8</f>
        <v>8296436</v>
      </c>
      <c r="D32" s="1">
        <f>D18+D26+D30-C8</f>
        <v>8448436</v>
      </c>
      <c r="E32" s="1">
        <f>E18+E26+E30-C8</f>
        <v>8924436</v>
      </c>
      <c r="F32" s="1">
        <f>F18+F26+F30-C8</f>
        <v>9452436</v>
      </c>
      <c r="G32" s="1">
        <f>G18+G26+G30-D8</f>
        <v>9920531</v>
      </c>
    </row>
    <row r="33" spans="2:7" ht="13.5">
      <c r="B33" t="s">
        <v>30</v>
      </c>
      <c r="C33" s="4">
        <f>ROUND(-5.48972*LOG(C32,10)+59.4977,2)</f>
        <v>21.51</v>
      </c>
      <c r="D33" s="4">
        <f>ROUND(-5.48972*LOG(D32,10)+59.4977,2)</f>
        <v>21.47</v>
      </c>
      <c r="E33" s="4">
        <f>ROUND(-5.48972*LOG(E32,10)+59.4977,2)</f>
        <v>21.34</v>
      </c>
      <c r="F33" s="4">
        <f>ROUND(-5.48972*LOG(F32,10)+59.4977,2)</f>
        <v>21.2</v>
      </c>
      <c r="G33" s="4">
        <f>ROUND(-5.48972*LOG(G32,10)+59.4977,2)</f>
        <v>21.09</v>
      </c>
    </row>
    <row r="34" spans="2:7" ht="13.5">
      <c r="B34" t="s">
        <v>31</v>
      </c>
      <c r="C34" s="7">
        <f>ROUNDDOWN(C32*C33/100,0)</f>
        <v>1784563</v>
      </c>
      <c r="D34" s="7">
        <f>ROUNDDOWN(D32*D33/100,0)</f>
        <v>1813879</v>
      </c>
      <c r="E34" s="7">
        <f>ROUNDDOWN(E32*E33/100,0)</f>
        <v>1904474</v>
      </c>
      <c r="F34" s="7">
        <f>ROUNDDOWN(F32*F33/100,0)</f>
        <v>2003916</v>
      </c>
      <c r="G34" s="7">
        <f>ROUNDDOWN(G32*G33/100,0)</f>
        <v>2092239</v>
      </c>
    </row>
    <row r="35" spans="2:7" ht="13.5">
      <c r="B35" t="s">
        <v>32</v>
      </c>
      <c r="C35" s="1">
        <f>C32+C34+C8</f>
        <v>10080999</v>
      </c>
      <c r="D35" s="1">
        <f>D32+D34+C8</f>
        <v>10262315</v>
      </c>
      <c r="E35" s="1">
        <f>E32+E34+C8</f>
        <v>10828910</v>
      </c>
      <c r="F35" s="1">
        <f>F32+F34+C8</f>
        <v>11456352</v>
      </c>
      <c r="G35" s="1">
        <f>G32+G34+D8</f>
        <v>12147675</v>
      </c>
    </row>
    <row r="36" spans="3:7" ht="13.5">
      <c r="C36" s="6" t="s">
        <v>33</v>
      </c>
      <c r="D36" s="6" t="s">
        <v>34</v>
      </c>
      <c r="E36" s="6" t="s">
        <v>64</v>
      </c>
      <c r="F36" s="6" t="s">
        <v>47</v>
      </c>
      <c r="G36" s="6" t="s">
        <v>51</v>
      </c>
    </row>
    <row r="37" spans="3:4" ht="13.5">
      <c r="C37" s="1"/>
      <c r="D37" s="1"/>
    </row>
    <row r="38" spans="3:4" ht="13.5">
      <c r="C38" s="1"/>
      <c r="D38" s="1"/>
    </row>
    <row r="39" spans="3:4" ht="13.5">
      <c r="C39" s="1"/>
      <c r="D39" s="1"/>
    </row>
    <row r="40" spans="3:4" ht="13.5">
      <c r="C40" s="1"/>
      <c r="D40" s="1"/>
    </row>
    <row r="41" spans="3:7" ht="13.5">
      <c r="C41" t="s">
        <v>2</v>
      </c>
      <c r="D41" t="s">
        <v>2</v>
      </c>
      <c r="E41" t="s">
        <v>2</v>
      </c>
      <c r="F41" t="s">
        <v>2</v>
      </c>
      <c r="G41" t="s">
        <v>2</v>
      </c>
    </row>
    <row r="42" spans="2:7" ht="13.5">
      <c r="B42" t="s">
        <v>36</v>
      </c>
      <c r="C42" s="1">
        <f>ROUNDDOWN(C7*0.95,0)</f>
        <v>4271994</v>
      </c>
      <c r="D42" s="1">
        <f>ROUNDDOWN(C7*0.95,0)</f>
        <v>4271994</v>
      </c>
      <c r="E42" s="1">
        <f>ROUNDDOWN(C7*0.95,0)</f>
        <v>4271994</v>
      </c>
      <c r="F42" s="1">
        <f>ROUNDDOWN(C7*0.95,0)</f>
        <v>4271994</v>
      </c>
      <c r="G42" s="1">
        <f>ROUNDDOWN(C7*0.95,0)</f>
        <v>4271994</v>
      </c>
    </row>
    <row r="43" spans="2:7" ht="13.5">
      <c r="B43" t="s">
        <v>37</v>
      </c>
      <c r="C43" s="1">
        <f>ROUNDDOWN(C26*0.9,0)</f>
        <v>939240</v>
      </c>
      <c r="D43" s="1">
        <f>ROUNDDOWN(D26*0.9,0)</f>
        <v>1000440</v>
      </c>
      <c r="E43" s="1">
        <f>ROUNDDOWN(E26*0.9,0)</f>
        <v>1157040</v>
      </c>
      <c r="F43" s="1">
        <f>ROUNDDOWN(F26*0.9,0)</f>
        <v>1302840</v>
      </c>
      <c r="G43" s="1">
        <f>ROUNDDOWN(G26*0.9,0)</f>
        <v>1666440</v>
      </c>
    </row>
    <row r="44" spans="2:7" ht="13.5">
      <c r="B44" t="s">
        <v>23</v>
      </c>
      <c r="C44" s="1">
        <f>SUM(C42:C43)</f>
        <v>5211234</v>
      </c>
      <c r="D44" s="1">
        <f>SUM(D42:D43)</f>
        <v>5272434</v>
      </c>
      <c r="E44" s="1">
        <f>SUM(E42:E43)</f>
        <v>5429034</v>
      </c>
      <c r="F44" s="1">
        <f>SUM(F42:F43)</f>
        <v>5574834</v>
      </c>
      <c r="G44" s="1">
        <f>SUM(G42:G43)</f>
        <v>5938434</v>
      </c>
    </row>
    <row r="45" spans="2:7" ht="13.5">
      <c r="B45" t="s">
        <v>38</v>
      </c>
      <c r="C45" s="1">
        <f>ROUNDDOWN(C30*0.9,0)</f>
        <v>2480400</v>
      </c>
      <c r="D45" s="1">
        <f>ROUNDDOWN(D30*0.9,0)</f>
        <v>2556000</v>
      </c>
      <c r="E45" s="1">
        <f>ROUNDDOWN(E30*0.9,0)</f>
        <v>2827800</v>
      </c>
      <c r="F45" s="1">
        <f>ROUNDDOWN(F30*0.9,0)</f>
        <v>3157200</v>
      </c>
      <c r="G45" s="1">
        <f>ROUNDDOWN(G30*0.9,0)</f>
        <v>3336300</v>
      </c>
    </row>
    <row r="46" spans="2:7" ht="13.5">
      <c r="B46" t="s">
        <v>28</v>
      </c>
      <c r="C46" s="1">
        <f>SUM(C44:C45)</f>
        <v>7691634</v>
      </c>
      <c r="D46" s="1">
        <f>SUM(D44:D45)</f>
        <v>7828434</v>
      </c>
      <c r="E46" s="1">
        <f>SUM(E44:E45)</f>
        <v>8256834</v>
      </c>
      <c r="F46" s="1">
        <f>SUM(F44:F45)</f>
        <v>8732034</v>
      </c>
      <c r="G46" s="1">
        <f>SUM(G44:G45)</f>
        <v>9274734</v>
      </c>
    </row>
    <row r="47" spans="2:7" ht="13.5">
      <c r="B47" t="s">
        <v>39</v>
      </c>
      <c r="C47" s="1">
        <f>ROUNDDOWN(C34*0.55,0)</f>
        <v>981509</v>
      </c>
      <c r="D47" s="1">
        <f>ROUNDDOWN(D34*0.55,0)</f>
        <v>997633</v>
      </c>
      <c r="E47" s="1">
        <f>ROUNDDOWN(E34*0.55,0)</f>
        <v>1047460</v>
      </c>
      <c r="F47" s="1">
        <f>ROUNDDOWN(F34*0.55,0)</f>
        <v>1102153</v>
      </c>
      <c r="G47" s="1">
        <f>ROUNDDOWN(G34*0.55,0)</f>
        <v>1150731</v>
      </c>
    </row>
    <row r="48" spans="2:7" ht="13.5">
      <c r="B48" t="s">
        <v>32</v>
      </c>
      <c r="C48" s="1">
        <f>SUM(C46:C47)</f>
        <v>8673143</v>
      </c>
      <c r="D48" s="1">
        <f>SUM(D46:D47)</f>
        <v>8826067</v>
      </c>
      <c r="E48" s="1">
        <f>SUM(E46:E47)</f>
        <v>9304294</v>
      </c>
      <c r="F48" s="1">
        <f>SUM(F46:F47)</f>
        <v>9834187</v>
      </c>
      <c r="G48" s="1">
        <f>SUM(G46:G47)</f>
        <v>10425465</v>
      </c>
    </row>
    <row r="49" spans="3:8" ht="13.5">
      <c r="C49" s="8">
        <f>C48/C35</f>
        <v>0.8603455867816275</v>
      </c>
      <c r="D49" s="8">
        <f>D48/D35</f>
        <v>0.8600463930409464</v>
      </c>
      <c r="E49" s="8">
        <f>E48/E35</f>
        <v>0.8592087292257485</v>
      </c>
      <c r="F49" s="8">
        <f>F48/F35</f>
        <v>0.8584047522282835</v>
      </c>
      <c r="G49" s="8">
        <f>G48/G35</f>
        <v>0.8582271916230884</v>
      </c>
      <c r="H49" t="s">
        <v>41</v>
      </c>
    </row>
    <row r="50" spans="3:7" ht="13.5">
      <c r="C50" s="1"/>
      <c r="D50" s="1"/>
      <c r="E50" s="1"/>
      <c r="F50" s="1"/>
      <c r="G50" s="1"/>
    </row>
    <row r="51" spans="3:7" ht="13.5">
      <c r="C51" t="s">
        <v>3</v>
      </c>
      <c r="D51" t="s">
        <v>3</v>
      </c>
      <c r="E51" t="s">
        <v>3</v>
      </c>
      <c r="F51" t="s">
        <v>3</v>
      </c>
      <c r="G51" t="s">
        <v>3</v>
      </c>
    </row>
    <row r="52" spans="2:7" ht="13.5">
      <c r="B52" t="s">
        <v>42</v>
      </c>
      <c r="C52" s="1">
        <f>ROUNDDOWN(C7*0.75,0)</f>
        <v>3372627</v>
      </c>
      <c r="D52" s="1">
        <f>ROUNDDOWN(C7*0.75,0)</f>
        <v>3372627</v>
      </c>
      <c r="E52" s="1">
        <f>ROUNDDOWN(C7*0.75,0)</f>
        <v>3372627</v>
      </c>
      <c r="F52" s="1">
        <f>ROUNDDOWN(C7*0.75,0)</f>
        <v>3372627</v>
      </c>
      <c r="G52" s="1" t="e">
        <f>ROUNDDOWN(D7*0.75,0)</f>
        <v>#VALUE!</v>
      </c>
    </row>
    <row r="53" spans="2:7" ht="13.5">
      <c r="B53" t="s">
        <v>43</v>
      </c>
      <c r="C53" s="1">
        <f>ROUNDDOWN(C26*0.7,0)</f>
        <v>730520</v>
      </c>
      <c r="D53" s="1">
        <f>ROUNDDOWN(D26*0.7,0)</f>
        <v>778120</v>
      </c>
      <c r="E53" s="1">
        <f>ROUNDDOWN(E26*0.7,0)</f>
        <v>899920</v>
      </c>
      <c r="F53" s="1">
        <f>ROUNDDOWN(F26*0.7,0)</f>
        <v>1013320</v>
      </c>
      <c r="G53" s="1">
        <f>ROUNDDOWN(G26*0.7,0)</f>
        <v>1296120</v>
      </c>
    </row>
    <row r="54" spans="2:7" ht="13.5">
      <c r="B54" t="s">
        <v>23</v>
      </c>
      <c r="C54" s="1">
        <f>SUM(C52:C53)</f>
        <v>4103147</v>
      </c>
      <c r="D54" s="1">
        <f>SUM(D52:D53)</f>
        <v>4150747</v>
      </c>
      <c r="E54" s="1">
        <f>SUM(E52:E53)</f>
        <v>4272547</v>
      </c>
      <c r="F54" s="1">
        <f>SUM(F52:F53)</f>
        <v>4385947</v>
      </c>
      <c r="G54" s="1" t="e">
        <f>SUM(G52:G53)</f>
        <v>#VALUE!</v>
      </c>
    </row>
    <row r="55" spans="2:7" ht="13.5">
      <c r="B55" t="s">
        <v>44</v>
      </c>
      <c r="C55" s="1">
        <f>ROUNDDOWN(C30*0.7,0)</f>
        <v>1929200</v>
      </c>
      <c r="D55" s="1">
        <f>ROUNDDOWN(D30*0.7,0)</f>
        <v>1988000</v>
      </c>
      <c r="E55" s="1">
        <f>ROUNDDOWN(E30*0.7,0)</f>
        <v>2199400</v>
      </c>
      <c r="F55" s="1">
        <f>ROUNDDOWN(F30*0.7,0)</f>
        <v>2455600</v>
      </c>
      <c r="G55" s="1">
        <f>ROUNDDOWN(G30*0.7,0)</f>
        <v>2594900</v>
      </c>
    </row>
    <row r="56" spans="2:7" ht="13.5">
      <c r="B56" t="s">
        <v>28</v>
      </c>
      <c r="C56" s="1">
        <f>SUM(C54:C55)</f>
        <v>6032347</v>
      </c>
      <c r="D56" s="1">
        <f>SUM(D54:D55)</f>
        <v>6138747</v>
      </c>
      <c r="E56" s="1">
        <f>SUM(E54:E55)</f>
        <v>6471947</v>
      </c>
      <c r="F56" s="1">
        <f>SUM(F54:F55)</f>
        <v>6841547</v>
      </c>
      <c r="G56" s="1" t="e">
        <f>SUM(G54:G55)</f>
        <v>#VALUE!</v>
      </c>
    </row>
    <row r="57" spans="2:7" ht="13.5">
      <c r="B57" t="s">
        <v>45</v>
      </c>
      <c r="C57" s="1">
        <f>ROUNDDOWN(C34*0.3,0)</f>
        <v>535368</v>
      </c>
      <c r="D57" s="1">
        <f>ROUNDDOWN(D34*0.3,0)</f>
        <v>544163</v>
      </c>
      <c r="E57" s="1">
        <f>ROUNDDOWN(E34*0.3,0)</f>
        <v>571342</v>
      </c>
      <c r="F57" s="1">
        <f>ROUNDDOWN(F34*0.3,0)</f>
        <v>601174</v>
      </c>
      <c r="G57" s="1">
        <f>ROUNDDOWN(G34*0.3,0)</f>
        <v>627671</v>
      </c>
    </row>
    <row r="58" spans="2:7" ht="13.5">
      <c r="B58" t="s">
        <v>32</v>
      </c>
      <c r="C58" s="1">
        <f>SUM(C56:C57)</f>
        <v>6567715</v>
      </c>
      <c r="D58" s="1">
        <f>SUM(D56:D57)</f>
        <v>6682910</v>
      </c>
      <c r="E58" s="1">
        <f>SUM(E56:E57)</f>
        <v>7043289</v>
      </c>
      <c r="F58" s="1">
        <f>SUM(F56:F57)</f>
        <v>7442721</v>
      </c>
      <c r="G58" s="1" t="e">
        <f>SUM(G56:G57)</f>
        <v>#VALUE!</v>
      </c>
    </row>
    <row r="59" spans="3:7" ht="13.5">
      <c r="C59" s="8">
        <f>C58/C35</f>
        <v>0.6514944600232576</v>
      </c>
      <c r="D59" s="8">
        <f>D58/D35</f>
        <v>0.6512088159445505</v>
      </c>
      <c r="E59" s="8">
        <f>E58/E35</f>
        <v>0.6504153234259035</v>
      </c>
      <c r="F59" s="8">
        <f>F58/F35</f>
        <v>0.6496588966540134</v>
      </c>
      <c r="G59" s="8" t="e">
        <f>G58/G35</f>
        <v>#VALUE!</v>
      </c>
    </row>
    <row r="60" spans="3:7" ht="13.5">
      <c r="C60" s="6" t="s">
        <v>33</v>
      </c>
      <c r="D60" s="6" t="s">
        <v>34</v>
      </c>
      <c r="E60" s="6" t="s">
        <v>35</v>
      </c>
      <c r="F60" s="6" t="s">
        <v>51</v>
      </c>
      <c r="G60" s="6" t="s">
        <v>51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C22" sqref="C22"/>
    </sheetView>
  </sheetViews>
  <sheetFormatPr defaultColWidth="9.00390625" defaultRowHeight="13.5"/>
  <cols>
    <col min="1" max="1" width="2.125" style="0" customWidth="1"/>
    <col min="2" max="2" width="20.625" style="0" customWidth="1"/>
    <col min="3" max="4" width="19.625" style="1" customWidth="1"/>
    <col min="5" max="5" width="19.625" style="0" customWidth="1"/>
    <col min="6" max="6" width="14.625" style="0" customWidth="1"/>
  </cols>
  <sheetData>
    <row r="1" ht="13.5">
      <c r="A1" t="s">
        <v>0</v>
      </c>
    </row>
    <row r="2" ht="13.5">
      <c r="B2" t="s">
        <v>1</v>
      </c>
    </row>
    <row r="3" ht="13.5">
      <c r="B3" t="s">
        <v>2</v>
      </c>
    </row>
    <row r="4" ht="13.5">
      <c r="B4" t="s">
        <v>3</v>
      </c>
    </row>
    <row r="7" spans="2:5" ht="13.5">
      <c r="B7" t="s">
        <v>4</v>
      </c>
      <c r="C7" s="2">
        <v>50000000</v>
      </c>
      <c r="D7" s="2" t="s">
        <v>5</v>
      </c>
      <c r="E7" t="s">
        <v>6</v>
      </c>
    </row>
    <row r="8" spans="2:6" ht="13.5">
      <c r="B8" t="s">
        <v>7</v>
      </c>
      <c r="C8" s="2">
        <f>D8-E8</f>
        <v>560000</v>
      </c>
      <c r="D8" s="2">
        <v>2000000</v>
      </c>
      <c r="E8" s="1">
        <f>ROUNDDOWN(C20*0.03,0)</f>
        <v>1440000</v>
      </c>
      <c r="F8" s="3" t="s">
        <v>8</v>
      </c>
    </row>
    <row r="9" spans="2:4" ht="13.5">
      <c r="B9" t="s">
        <v>9</v>
      </c>
      <c r="C9" s="2">
        <v>1000000</v>
      </c>
      <c r="D9" s="1" t="s">
        <v>10</v>
      </c>
    </row>
    <row r="10" spans="2:3" ht="13.5">
      <c r="B10" t="s">
        <v>11</v>
      </c>
      <c r="C10" s="2">
        <v>1000000</v>
      </c>
    </row>
    <row r="11" spans="2:3" ht="13.5">
      <c r="B11" t="s">
        <v>12</v>
      </c>
      <c r="C11" s="2"/>
    </row>
    <row r="12" spans="2:3" ht="13.5">
      <c r="B12" t="s">
        <v>12</v>
      </c>
      <c r="C12" s="2"/>
    </row>
    <row r="13" spans="2:3" ht="13.5">
      <c r="B13" t="s">
        <v>12</v>
      </c>
      <c r="C13" s="2"/>
    </row>
    <row r="14" spans="2:3" ht="13.5">
      <c r="B14" t="s">
        <v>12</v>
      </c>
      <c r="C14" s="2"/>
    </row>
    <row r="15" spans="2:5" ht="13.5">
      <c r="B15" t="s">
        <v>13</v>
      </c>
      <c r="C15" s="4">
        <f>ROUND(11*POWER(C20,-0.138),2)</f>
        <v>0.96</v>
      </c>
      <c r="D15" s="4">
        <f>ROUND(11*POWER(D20,-0.138),2)</f>
        <v>0.96</v>
      </c>
      <c r="E15" s="5">
        <f>C15+1.5</f>
        <v>2.46</v>
      </c>
    </row>
    <row r="17" spans="3:5" ht="13.5">
      <c r="C17" s="6" t="s">
        <v>56</v>
      </c>
      <c r="D17" s="6" t="s">
        <v>56</v>
      </c>
      <c r="E17" s="6" t="s">
        <v>56</v>
      </c>
    </row>
    <row r="18" spans="2:5" ht="13.5">
      <c r="B18" t="s">
        <v>4</v>
      </c>
      <c r="C18" s="1">
        <f>C7</f>
        <v>50000000</v>
      </c>
      <c r="D18" s="1">
        <f>C7</f>
        <v>50000000</v>
      </c>
      <c r="E18" s="1">
        <f>C7</f>
        <v>50000000</v>
      </c>
    </row>
    <row r="19" spans="2:5" ht="13.5">
      <c r="B19" t="s">
        <v>15</v>
      </c>
      <c r="C19" s="1">
        <f>C8+C9+C10</f>
        <v>2560000</v>
      </c>
      <c r="D19" s="1">
        <f>C8+C9+C10</f>
        <v>2560000</v>
      </c>
      <c r="E19" s="1">
        <f>C8+C9+C10</f>
        <v>2560000</v>
      </c>
    </row>
    <row r="20" spans="2:6" ht="13.5">
      <c r="B20" t="s">
        <v>16</v>
      </c>
      <c r="C20" s="1">
        <f>C7-C9-C10</f>
        <v>48000000</v>
      </c>
      <c r="D20" s="1">
        <f>C7-C9-C10</f>
        <v>48000000</v>
      </c>
      <c r="E20" s="1">
        <f>C7-C9-C10</f>
        <v>48000000</v>
      </c>
      <c r="F20" s="3" t="s">
        <v>17</v>
      </c>
    </row>
    <row r="21" spans="2:6" ht="13.5">
      <c r="B21" t="s">
        <v>18</v>
      </c>
      <c r="C21" s="1">
        <f>C7-C8-C9-C10</f>
        <v>47440000</v>
      </c>
      <c r="D21" s="1">
        <f>C7-C8-C9-C10</f>
        <v>47440000</v>
      </c>
      <c r="E21" s="1">
        <f>C7-C8-C9-C10</f>
        <v>47440000</v>
      </c>
      <c r="F21" s="3"/>
    </row>
    <row r="22" spans="2:5" ht="13.5">
      <c r="B22" t="s">
        <v>19</v>
      </c>
      <c r="C22" s="4">
        <f>ROUND(238.6*POWER(C21,-0.1888),2)</f>
        <v>8.48</v>
      </c>
      <c r="D22" s="4">
        <f>ROUND(238.6*POWER(D21,-0.1888),2)+1.5</f>
        <v>9.98</v>
      </c>
      <c r="E22" s="4">
        <f>ROUND(238.6*POWER(E21,-0.1888),2)*1.2</f>
        <v>10.176</v>
      </c>
    </row>
    <row r="23" spans="2:5" ht="13.5">
      <c r="B23" t="s">
        <v>20</v>
      </c>
      <c r="C23" s="1">
        <f>ROUNDDOWN(C21*C22/100,-3)</f>
        <v>4022000</v>
      </c>
      <c r="D23" s="1">
        <f>ROUNDDOWN(D21*D22/100,-3)</f>
        <v>4734000</v>
      </c>
      <c r="E23" s="1">
        <f>ROUNDDOWN(E21*E22/100,-3)</f>
        <v>4827000</v>
      </c>
    </row>
    <row r="24" spans="2:5" ht="13.5">
      <c r="B24" t="s">
        <v>12</v>
      </c>
      <c r="C24" s="1">
        <f>SUM(C11:C14)</f>
        <v>0</v>
      </c>
      <c r="D24" s="1">
        <f>SUM(C11:C14)</f>
        <v>0</v>
      </c>
      <c r="E24" s="1">
        <f>SUM(C11:C14)</f>
        <v>0</v>
      </c>
    </row>
    <row r="25" spans="2:5" ht="13.5">
      <c r="B25" t="s">
        <v>21</v>
      </c>
      <c r="E25" s="1"/>
    </row>
    <row r="26" spans="2:5" ht="13.5">
      <c r="B26" t="s">
        <v>22</v>
      </c>
      <c r="C26" s="1">
        <f>SUM(C23:C25)</f>
        <v>4022000</v>
      </c>
      <c r="D26" s="1">
        <f>SUM(D23:D25)</f>
        <v>4734000</v>
      </c>
      <c r="E26" s="1">
        <f>SUM(E23:E25)</f>
        <v>4827000</v>
      </c>
    </row>
    <row r="27" spans="2:6" ht="13.5">
      <c r="B27" t="s">
        <v>23</v>
      </c>
      <c r="C27" s="1">
        <f>C18+C26</f>
        <v>54022000</v>
      </c>
      <c r="D27" s="1">
        <f>D18+D26</f>
        <v>54734000</v>
      </c>
      <c r="E27" s="1">
        <f>E18+E26</f>
        <v>54827000</v>
      </c>
      <c r="F27" s="3" t="s">
        <v>24</v>
      </c>
    </row>
    <row r="28" spans="2:6" ht="13.5">
      <c r="B28" t="s">
        <v>25</v>
      </c>
      <c r="C28" s="1">
        <f>C7+C26-C8-C10</f>
        <v>52462000</v>
      </c>
      <c r="D28" s="1">
        <f>C7+D26-C8-C10</f>
        <v>53174000</v>
      </c>
      <c r="E28" s="1">
        <f>C7+E26-C8-C10</f>
        <v>53267000</v>
      </c>
      <c r="F28" s="3"/>
    </row>
    <row r="29" spans="2:5" ht="13.5">
      <c r="B29" t="s">
        <v>26</v>
      </c>
      <c r="C29" s="4">
        <f>ROUND(1169*POWER(C28,-0.211),2)</f>
        <v>27.47</v>
      </c>
      <c r="D29" s="4">
        <f>ROUND(1169*POWER(D28,-0.211),2)+1</f>
        <v>28.4</v>
      </c>
      <c r="E29" s="4">
        <f>ROUND(1169*POWER(E28,-0.211),2)*1.1</f>
        <v>30.129</v>
      </c>
    </row>
    <row r="30" spans="2:5" ht="13.5">
      <c r="B30" t="s">
        <v>27</v>
      </c>
      <c r="C30" s="1">
        <f>ROUNDDOWN(C28*C29/100,-3)</f>
        <v>14411000</v>
      </c>
      <c r="D30" s="1">
        <f>ROUNDDOWN(D28*D29/100,-3)</f>
        <v>15101000</v>
      </c>
      <c r="E30" s="1">
        <f>ROUNDDOWN(E28*E29/100,-3)</f>
        <v>16048000</v>
      </c>
    </row>
    <row r="31" spans="2:5" ht="13.5">
      <c r="B31" t="s">
        <v>28</v>
      </c>
      <c r="C31" s="1">
        <f>C27+C30</f>
        <v>68433000</v>
      </c>
      <c r="D31" s="1">
        <f>D27+D30</f>
        <v>69835000</v>
      </c>
      <c r="E31" s="1">
        <f>E27+E30</f>
        <v>70875000</v>
      </c>
    </row>
    <row r="32" spans="2:5" ht="13.5">
      <c r="B32" t="s">
        <v>29</v>
      </c>
      <c r="C32" s="1">
        <f>C18+C26+C30-C8</f>
        <v>67873000</v>
      </c>
      <c r="D32" s="1">
        <f>D18+D26+D30-C8</f>
        <v>69275000</v>
      </c>
      <c r="E32" s="1">
        <f>E18+E26+E30-C8</f>
        <v>70315000</v>
      </c>
    </row>
    <row r="33" spans="2:5" ht="13.5">
      <c r="B33" t="s">
        <v>30</v>
      </c>
      <c r="C33" s="4">
        <f>ROUND(-5.48972*LOG(C32,10)+59.4977,2)</f>
        <v>16.5</v>
      </c>
      <c r="D33" s="4">
        <f>ROUND(-5.48972*LOG(D32,10)+59.4977,2)</f>
        <v>16.46</v>
      </c>
      <c r="E33" s="4">
        <f>ROUND(-5.48972*LOG(E32,10)+59.4977,2)</f>
        <v>16.42</v>
      </c>
    </row>
    <row r="34" spans="2:5" ht="13.5">
      <c r="B34" t="s">
        <v>31</v>
      </c>
      <c r="C34" s="7">
        <f>ROUNDDOWN(C32*C33/100,0)</f>
        <v>11199045</v>
      </c>
      <c r="D34" s="7">
        <f>ROUNDDOWN(D32*D33/100,0)</f>
        <v>11402665</v>
      </c>
      <c r="E34" s="7">
        <f>ROUNDDOWN(E32*E33/100,0)</f>
        <v>11545723</v>
      </c>
    </row>
    <row r="35" spans="2:5" ht="13.5">
      <c r="B35" t="s">
        <v>32</v>
      </c>
      <c r="C35" s="1">
        <f>C32+C34+C8</f>
        <v>79632045</v>
      </c>
      <c r="D35" s="1">
        <f>D32+D34+C8</f>
        <v>81237665</v>
      </c>
      <c r="E35" s="1">
        <f>E32+E34+C8</f>
        <v>82420723</v>
      </c>
    </row>
    <row r="36" spans="3:5" ht="13.5">
      <c r="C36" s="6" t="s">
        <v>33</v>
      </c>
      <c r="D36" s="6" t="s">
        <v>34</v>
      </c>
      <c r="E36" s="6" t="s">
        <v>65</v>
      </c>
    </row>
    <row r="41" spans="3:5" ht="13.5">
      <c r="C41" t="s">
        <v>2</v>
      </c>
      <c r="D41" t="s">
        <v>2</v>
      </c>
      <c r="E41" t="s">
        <v>2</v>
      </c>
    </row>
    <row r="42" spans="2:5" ht="13.5">
      <c r="B42" t="s">
        <v>36</v>
      </c>
      <c r="C42" s="1">
        <f>ROUNDDOWN(C7*0.95,0)</f>
        <v>47500000</v>
      </c>
      <c r="D42" s="1">
        <f>ROUNDDOWN(C7*0.95,0)</f>
        <v>47500000</v>
      </c>
      <c r="E42" s="1">
        <f>ROUNDDOWN(C7*0.95,0)</f>
        <v>47500000</v>
      </c>
    </row>
    <row r="43" spans="2:5" ht="13.5">
      <c r="B43" t="s">
        <v>37</v>
      </c>
      <c r="C43" s="1">
        <f>ROUNDDOWN(C26*0.9,0)</f>
        <v>3619800</v>
      </c>
      <c r="D43" s="1">
        <f>ROUNDDOWN(D26*0.9,0)</f>
        <v>4260600</v>
      </c>
      <c r="E43" s="1">
        <f>ROUNDDOWN(E26*0.9,0)</f>
        <v>4344300</v>
      </c>
    </row>
    <row r="44" spans="2:5" ht="13.5">
      <c r="B44" t="s">
        <v>23</v>
      </c>
      <c r="C44" s="1">
        <f>SUM(C42:C43)</f>
        <v>51119800</v>
      </c>
      <c r="D44" s="1">
        <f>SUM(D42:D43)</f>
        <v>51760600</v>
      </c>
      <c r="E44" s="1">
        <f>SUM(E42:E43)</f>
        <v>51844300</v>
      </c>
    </row>
    <row r="45" spans="2:5" ht="13.5">
      <c r="B45" t="s">
        <v>38</v>
      </c>
      <c r="C45" s="1">
        <f>ROUNDDOWN(C30*0.9,0)</f>
        <v>12969900</v>
      </c>
      <c r="D45" s="1">
        <f>ROUNDDOWN(D30*0.9,0)</f>
        <v>13590900</v>
      </c>
      <c r="E45" s="1">
        <f>ROUNDDOWN(E30*0.9,0)</f>
        <v>14443200</v>
      </c>
    </row>
    <row r="46" spans="2:5" ht="13.5">
      <c r="B46" t="s">
        <v>28</v>
      </c>
      <c r="C46" s="1">
        <f>SUM(C44:C45)</f>
        <v>64089700</v>
      </c>
      <c r="D46" s="1">
        <f>SUM(D44:D45)</f>
        <v>65351500</v>
      </c>
      <c r="E46" s="1">
        <f>SUM(E44:E45)</f>
        <v>66287500</v>
      </c>
    </row>
    <row r="47" spans="2:6" ht="13.5">
      <c r="B47" t="s">
        <v>39</v>
      </c>
      <c r="C47" s="1">
        <f>ROUNDDOWN(C34*0.55,0)</f>
        <v>6159474</v>
      </c>
      <c r="D47" s="1">
        <f>ROUNDDOWN(D34*0.55,0)</f>
        <v>6271465</v>
      </c>
      <c r="E47" s="1">
        <f>ROUNDDOWN(E34*0.55,0)</f>
        <v>6350147</v>
      </c>
      <c r="F47" t="s">
        <v>40</v>
      </c>
    </row>
    <row r="48" spans="2:5" ht="13.5">
      <c r="B48" t="s">
        <v>32</v>
      </c>
      <c r="C48" s="1">
        <f>SUM(C46:C47)</f>
        <v>70249174</v>
      </c>
      <c r="D48" s="1">
        <f>SUM(D46:D47)</f>
        <v>71622965</v>
      </c>
      <c r="E48" s="1">
        <f>SUM(E46:E47)</f>
        <v>72637647</v>
      </c>
    </row>
    <row r="49" spans="3:6" ht="13.5">
      <c r="C49" s="8">
        <f>C48/C35</f>
        <v>0.8821721707636668</v>
      </c>
      <c r="D49" s="8">
        <f>D48/D35</f>
        <v>0.8816472630029433</v>
      </c>
      <c r="E49" s="8">
        <f>E48/E35</f>
        <v>0.8813032008952408</v>
      </c>
      <c r="F49" t="s">
        <v>41</v>
      </c>
    </row>
    <row r="50" ht="13.5">
      <c r="E50" s="1"/>
    </row>
    <row r="51" spans="3:5" ht="13.5">
      <c r="C51" t="s">
        <v>3</v>
      </c>
      <c r="D51" t="s">
        <v>3</v>
      </c>
      <c r="E51" t="s">
        <v>3</v>
      </c>
    </row>
    <row r="52" spans="2:5" ht="13.5">
      <c r="B52" t="s">
        <v>42</v>
      </c>
      <c r="C52" s="1">
        <f>ROUNDDOWN(C7*0.75,0)</f>
        <v>37500000</v>
      </c>
      <c r="D52" s="1">
        <f>ROUNDDOWN(C7*0.75,0)</f>
        <v>37500000</v>
      </c>
      <c r="E52" s="1">
        <f>ROUNDDOWN(C7*0.75,0)</f>
        <v>37500000</v>
      </c>
    </row>
    <row r="53" spans="2:5" ht="13.5">
      <c r="B53" t="s">
        <v>43</v>
      </c>
      <c r="C53" s="1">
        <f>ROUNDDOWN(C26*0.7,0)</f>
        <v>2815400</v>
      </c>
      <c r="D53" s="1">
        <f>ROUNDDOWN(D26*0.7,0)</f>
        <v>3313800</v>
      </c>
      <c r="E53" s="1">
        <f>ROUNDDOWN(E26*0.7,0)</f>
        <v>3378900</v>
      </c>
    </row>
    <row r="54" spans="2:5" ht="13.5">
      <c r="B54" t="s">
        <v>23</v>
      </c>
      <c r="C54" s="1">
        <f>SUM(C52:C53)</f>
        <v>40315400</v>
      </c>
      <c r="D54" s="1">
        <f>SUM(D52:D53)</f>
        <v>40813800</v>
      </c>
      <c r="E54" s="1">
        <f>SUM(E52:E53)</f>
        <v>40878900</v>
      </c>
    </row>
    <row r="55" spans="2:5" ht="13.5">
      <c r="B55" t="s">
        <v>44</v>
      </c>
      <c r="C55" s="1">
        <f>ROUNDDOWN(C30*0.7,0)</f>
        <v>10087700</v>
      </c>
      <c r="D55" s="1">
        <f>ROUNDDOWN(D30*0.7,0)</f>
        <v>10570700</v>
      </c>
      <c r="E55" s="1">
        <f>ROUNDDOWN(E30*0.7,0)</f>
        <v>11233600</v>
      </c>
    </row>
    <row r="56" spans="2:5" ht="13.5">
      <c r="B56" t="s">
        <v>28</v>
      </c>
      <c r="C56" s="1">
        <f>SUM(C54:C55)</f>
        <v>50403100</v>
      </c>
      <c r="D56" s="1">
        <f>SUM(D54:D55)</f>
        <v>51384500</v>
      </c>
      <c r="E56" s="1">
        <f>SUM(E54:E55)</f>
        <v>52112500</v>
      </c>
    </row>
    <row r="57" spans="2:5" ht="13.5">
      <c r="B57" t="s">
        <v>45</v>
      </c>
      <c r="C57" s="1">
        <f>ROUNDDOWN(C34*0.3,0)</f>
        <v>3359713</v>
      </c>
      <c r="D57" s="1">
        <f>ROUNDDOWN(D34*0.3,0)</f>
        <v>3420799</v>
      </c>
      <c r="E57" s="1">
        <f>ROUNDDOWN(E34*0.3,0)</f>
        <v>3463716</v>
      </c>
    </row>
    <row r="58" spans="2:5" ht="13.5">
      <c r="B58" t="s">
        <v>32</v>
      </c>
      <c r="C58" s="1">
        <f>SUM(C56:C57)</f>
        <v>53762813</v>
      </c>
      <c r="D58" s="1">
        <f>SUM(D56:D57)</f>
        <v>54805299</v>
      </c>
      <c r="E58" s="1">
        <f>SUM(E56:E57)</f>
        <v>55576216</v>
      </c>
    </row>
    <row r="59" spans="3:5" ht="13.5">
      <c r="C59" s="8">
        <f>C58/C35</f>
        <v>0.6751404287055544</v>
      </c>
      <c r="D59" s="8">
        <f>D58/D35</f>
        <v>0.6746291760109058</v>
      </c>
      <c r="E59" s="8">
        <f>E58/E35</f>
        <v>0.6742990594731861</v>
      </c>
    </row>
    <row r="60" spans="3:5" ht="13.5">
      <c r="C60" s="6" t="s">
        <v>33</v>
      </c>
      <c r="D60" s="6" t="s">
        <v>34</v>
      </c>
      <c r="E60" s="6" t="s">
        <v>35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0">
      <selection activeCell="C29" sqref="C29"/>
    </sheetView>
  </sheetViews>
  <sheetFormatPr defaultColWidth="9.00390625" defaultRowHeight="13.5"/>
  <cols>
    <col min="1" max="1" width="2.125" style="0" customWidth="1"/>
    <col min="2" max="2" width="20.625" style="0" customWidth="1"/>
    <col min="3" max="4" width="19.625" style="1" customWidth="1"/>
    <col min="5" max="5" width="19.625" style="0" customWidth="1"/>
    <col min="6" max="6" width="14.625" style="0" customWidth="1"/>
  </cols>
  <sheetData>
    <row r="1" ht="13.5">
      <c r="A1" t="s">
        <v>0</v>
      </c>
    </row>
    <row r="2" ht="13.5">
      <c r="B2" t="s">
        <v>1</v>
      </c>
    </row>
    <row r="3" ht="13.5">
      <c r="B3" t="s">
        <v>2</v>
      </c>
    </row>
    <row r="4" ht="13.5">
      <c r="B4" t="s">
        <v>3</v>
      </c>
    </row>
    <row r="7" spans="2:5" ht="13.5">
      <c r="B7" t="s">
        <v>4</v>
      </c>
      <c r="C7" s="2">
        <v>50000000</v>
      </c>
      <c r="D7" s="2" t="s">
        <v>5</v>
      </c>
      <c r="E7" t="s">
        <v>6</v>
      </c>
    </row>
    <row r="8" spans="2:6" ht="13.5">
      <c r="B8" t="s">
        <v>7</v>
      </c>
      <c r="C8" s="2">
        <f>D8-E8</f>
        <v>590000</v>
      </c>
      <c r="D8" s="2">
        <v>2000000</v>
      </c>
      <c r="E8" s="1">
        <f>ROUNDDOWN(C20*0.03,0)</f>
        <v>1410000</v>
      </c>
      <c r="F8" s="3" t="s">
        <v>8</v>
      </c>
    </row>
    <row r="9" spans="2:4" ht="13.5">
      <c r="B9" t="s">
        <v>9</v>
      </c>
      <c r="C9" s="2">
        <v>1000000</v>
      </c>
      <c r="D9" s="1" t="s">
        <v>10</v>
      </c>
    </row>
    <row r="10" spans="2:3" ht="13.5">
      <c r="B10" t="s">
        <v>11</v>
      </c>
      <c r="C10" s="2">
        <v>2000000</v>
      </c>
    </row>
    <row r="11" spans="2:3" ht="13.5">
      <c r="B11" t="s">
        <v>12</v>
      </c>
      <c r="C11" s="2"/>
    </row>
    <row r="12" spans="2:3" ht="13.5">
      <c r="B12" t="s">
        <v>12</v>
      </c>
      <c r="C12" s="2"/>
    </row>
    <row r="13" spans="2:3" ht="13.5">
      <c r="B13" t="s">
        <v>12</v>
      </c>
      <c r="C13" s="2"/>
    </row>
    <row r="14" spans="2:3" ht="13.5">
      <c r="B14" t="s">
        <v>12</v>
      </c>
      <c r="C14" s="2"/>
    </row>
    <row r="15" spans="2:5" ht="13.5">
      <c r="B15" t="s">
        <v>13</v>
      </c>
      <c r="C15" s="4">
        <f>ROUND(11*POWER(C20,-0.138),2)</f>
        <v>0.96</v>
      </c>
      <c r="D15" s="4">
        <f>ROUND(11*POWER(D20,-0.138),2)</f>
        <v>0.96</v>
      </c>
      <c r="E15" s="5">
        <f>C15+1.5</f>
        <v>2.46</v>
      </c>
    </row>
    <row r="17" spans="3:5" ht="13.5">
      <c r="C17" s="6" t="s">
        <v>57</v>
      </c>
      <c r="D17" s="6" t="s">
        <v>57</v>
      </c>
      <c r="E17" s="6" t="s">
        <v>57</v>
      </c>
    </row>
    <row r="18" spans="2:5" ht="13.5">
      <c r="B18" t="s">
        <v>4</v>
      </c>
      <c r="C18" s="1">
        <f>C7</f>
        <v>50000000</v>
      </c>
      <c r="D18" s="1">
        <f>C7</f>
        <v>50000000</v>
      </c>
      <c r="E18" s="1">
        <f>C7</f>
        <v>50000000</v>
      </c>
    </row>
    <row r="19" spans="2:5" ht="13.5">
      <c r="B19" t="s">
        <v>15</v>
      </c>
      <c r="C19" s="1">
        <f>C8+C9+C10</f>
        <v>3590000</v>
      </c>
      <c r="D19" s="1">
        <f>C8+C9+C10</f>
        <v>3590000</v>
      </c>
      <c r="E19" s="1">
        <f>C8+C9+C10</f>
        <v>3590000</v>
      </c>
    </row>
    <row r="20" spans="2:6" ht="13.5">
      <c r="B20" t="s">
        <v>16</v>
      </c>
      <c r="C20" s="1">
        <f>C7-C9-C10</f>
        <v>47000000</v>
      </c>
      <c r="D20" s="1">
        <f>C7-C9-C10</f>
        <v>47000000</v>
      </c>
      <c r="E20" s="1">
        <f>C7-C9-C10</f>
        <v>47000000</v>
      </c>
      <c r="F20" s="3" t="s">
        <v>17</v>
      </c>
    </row>
    <row r="21" spans="2:6" ht="13.5">
      <c r="B21" t="s">
        <v>18</v>
      </c>
      <c r="C21" s="1">
        <f>C7-C8-C9-C10</f>
        <v>46410000</v>
      </c>
      <c r="D21" s="1">
        <f>C7-C8-C9-C10</f>
        <v>46410000</v>
      </c>
      <c r="E21" s="1">
        <f>C7-C8-C9-C10</f>
        <v>46410000</v>
      </c>
      <c r="F21" s="3"/>
    </row>
    <row r="22" spans="2:5" ht="13.5">
      <c r="B22" t="s">
        <v>19</v>
      </c>
      <c r="C22" s="4">
        <f>ROUND(1228.3*POWER(C21,-0.2614),2)</f>
        <v>12.17</v>
      </c>
      <c r="D22" s="4">
        <f>ROUND(1228.3*POWER(D21,-0.2614),2)+1.5</f>
        <v>13.67</v>
      </c>
      <c r="E22" s="4">
        <f>ROUND(1228.3*POWER(E21,-0.2614),2)*1.2</f>
        <v>14.604</v>
      </c>
    </row>
    <row r="23" spans="2:5" ht="13.5">
      <c r="B23" t="s">
        <v>20</v>
      </c>
      <c r="C23" s="1">
        <f>ROUNDDOWN(C21*C22/100,-3)</f>
        <v>5648000</v>
      </c>
      <c r="D23" s="1">
        <f>ROUNDDOWN(D21*D22/100,-3)</f>
        <v>6344000</v>
      </c>
      <c r="E23" s="1">
        <f>ROUNDDOWN(E21*E22/100,-3)</f>
        <v>6777000</v>
      </c>
    </row>
    <row r="24" spans="2:5" ht="13.5">
      <c r="B24" t="s">
        <v>12</v>
      </c>
      <c r="C24" s="1">
        <f>SUM(C11:C14)</f>
        <v>0</v>
      </c>
      <c r="D24" s="1">
        <f>SUM(C11:C14)</f>
        <v>0</v>
      </c>
      <c r="E24" s="1">
        <f>SUM(C11:C14)</f>
        <v>0</v>
      </c>
    </row>
    <row r="25" spans="2:5" ht="13.5">
      <c r="B25" t="s">
        <v>21</v>
      </c>
      <c r="E25" s="1"/>
    </row>
    <row r="26" spans="2:5" ht="13.5">
      <c r="B26" t="s">
        <v>22</v>
      </c>
      <c r="C26" s="1">
        <f>SUM(C23:C25)</f>
        <v>5648000</v>
      </c>
      <c r="D26" s="1">
        <f>SUM(D23:D25)</f>
        <v>6344000</v>
      </c>
      <c r="E26" s="1">
        <f>SUM(E23:E25)</f>
        <v>6777000</v>
      </c>
    </row>
    <row r="27" spans="2:6" ht="13.5">
      <c r="B27" t="s">
        <v>23</v>
      </c>
      <c r="C27" s="1">
        <f>C18+C26</f>
        <v>55648000</v>
      </c>
      <c r="D27" s="1">
        <f>D18+D26</f>
        <v>56344000</v>
      </c>
      <c r="E27" s="1">
        <f>E18+E26</f>
        <v>56777000</v>
      </c>
      <c r="F27" s="3" t="s">
        <v>24</v>
      </c>
    </row>
    <row r="28" spans="2:6" ht="13.5">
      <c r="B28" t="s">
        <v>25</v>
      </c>
      <c r="C28" s="1">
        <f>C7+C26-C8-C10</f>
        <v>53058000</v>
      </c>
      <c r="D28" s="1">
        <f>C7+D26-C8-C10</f>
        <v>53754000</v>
      </c>
      <c r="E28" s="1">
        <f>C7+E26-C8-C10</f>
        <v>54187000</v>
      </c>
      <c r="F28" s="3"/>
    </row>
    <row r="29" spans="2:5" ht="13.5">
      <c r="B29" t="s">
        <v>26</v>
      </c>
      <c r="C29" s="4">
        <f>ROUND(420.8*POWER(C28,-0.1473),2)</f>
        <v>30.64</v>
      </c>
      <c r="D29" s="4">
        <f>ROUND(420.8*POWER(D28,-0.1473),2)+1</f>
        <v>31.58</v>
      </c>
      <c r="E29" s="4">
        <f>ROUND(420.8*POWER(E28,-0.1473),2)*1.1</f>
        <v>33.594</v>
      </c>
    </row>
    <row r="30" spans="2:5" ht="13.5">
      <c r="B30" t="s">
        <v>27</v>
      </c>
      <c r="C30" s="1">
        <f>ROUNDDOWN(C28*C29/100,-3)</f>
        <v>16256000</v>
      </c>
      <c r="D30" s="1">
        <f>ROUNDDOWN(D28*D29/100,-3)</f>
        <v>16975000</v>
      </c>
      <c r="E30" s="1">
        <f>ROUNDDOWN(E28*E29/100,-3)</f>
        <v>18203000</v>
      </c>
    </row>
    <row r="31" spans="2:5" ht="13.5">
      <c r="B31" t="s">
        <v>28</v>
      </c>
      <c r="C31" s="1">
        <f>C27+C30</f>
        <v>71904000</v>
      </c>
      <c r="D31" s="1">
        <f>D27+D30</f>
        <v>73319000</v>
      </c>
      <c r="E31" s="1">
        <f>E27+E30</f>
        <v>74980000</v>
      </c>
    </row>
    <row r="32" spans="2:5" ht="13.5">
      <c r="B32" t="s">
        <v>29</v>
      </c>
      <c r="C32" s="1">
        <f>C18+C26+C30-C8</f>
        <v>71314000</v>
      </c>
      <c r="D32" s="1">
        <f>D18+D26+D30-C8</f>
        <v>72729000</v>
      </c>
      <c r="E32" s="1">
        <f>E18+E26+E30-C8</f>
        <v>74390000</v>
      </c>
    </row>
    <row r="33" spans="2:5" ht="13.5">
      <c r="B33" t="s">
        <v>30</v>
      </c>
      <c r="C33" s="4">
        <f>ROUND(-5.48972*LOG(C32,10)+59.4977,2)</f>
        <v>16.39</v>
      </c>
      <c r="D33" s="4">
        <f>ROUND(-5.48972*LOG(D32,10)+59.4977,2)</f>
        <v>16.34</v>
      </c>
      <c r="E33" s="4">
        <f>ROUND(-5.48972*LOG(E32,10)+59.4977,2)</f>
        <v>16.29</v>
      </c>
    </row>
    <row r="34" spans="2:5" ht="13.5">
      <c r="B34" t="s">
        <v>31</v>
      </c>
      <c r="C34" s="7">
        <f>ROUNDDOWN(C32*C33/100,0)</f>
        <v>11688364</v>
      </c>
      <c r="D34" s="7">
        <f>ROUNDDOWN(D32*D33/100,0)</f>
        <v>11883918</v>
      </c>
      <c r="E34" s="7">
        <f>ROUNDDOWN(E32*E33/100,0)</f>
        <v>12118131</v>
      </c>
    </row>
    <row r="35" spans="2:5" ht="13.5">
      <c r="B35" t="s">
        <v>32</v>
      </c>
      <c r="C35" s="1">
        <f>C32+C34+C8</f>
        <v>83592364</v>
      </c>
      <c r="D35" s="1">
        <f>D32+D34+C8</f>
        <v>85202918</v>
      </c>
      <c r="E35" s="1">
        <f>E32+E34+C8</f>
        <v>87098131</v>
      </c>
    </row>
    <row r="36" spans="3:5" ht="13.5">
      <c r="C36" s="6" t="s">
        <v>33</v>
      </c>
      <c r="D36" s="6" t="s">
        <v>34</v>
      </c>
      <c r="E36" s="6" t="s">
        <v>62</v>
      </c>
    </row>
    <row r="41" spans="3:5" ht="13.5">
      <c r="C41" t="s">
        <v>2</v>
      </c>
      <c r="D41" t="s">
        <v>2</v>
      </c>
      <c r="E41" t="s">
        <v>2</v>
      </c>
    </row>
    <row r="42" spans="2:5" ht="13.5">
      <c r="B42" t="s">
        <v>36</v>
      </c>
      <c r="C42" s="1">
        <f>ROUNDDOWN(C7*0.95,0)</f>
        <v>47500000</v>
      </c>
      <c r="D42" s="1">
        <f>ROUNDDOWN(C7*0.95,0)</f>
        <v>47500000</v>
      </c>
      <c r="E42" s="1">
        <f>ROUNDDOWN(C7*0.95,0)</f>
        <v>47500000</v>
      </c>
    </row>
    <row r="43" spans="2:5" ht="13.5">
      <c r="B43" t="s">
        <v>37</v>
      </c>
      <c r="C43" s="1">
        <f>ROUNDDOWN(C26*0.9,0)</f>
        <v>5083200</v>
      </c>
      <c r="D43" s="1">
        <f>ROUNDDOWN(D26*0.9,0)</f>
        <v>5709600</v>
      </c>
      <c r="E43" s="1">
        <f>ROUNDDOWN(E26*0.9,0)</f>
        <v>6099300</v>
      </c>
    </row>
    <row r="44" spans="2:5" ht="13.5">
      <c r="B44" t="s">
        <v>23</v>
      </c>
      <c r="C44" s="1">
        <f>SUM(C42:C43)</f>
        <v>52583200</v>
      </c>
      <c r="D44" s="1">
        <f>SUM(D42:D43)</f>
        <v>53209600</v>
      </c>
      <c r="E44" s="1">
        <f>SUM(E42:E43)</f>
        <v>53599300</v>
      </c>
    </row>
    <row r="45" spans="2:5" ht="13.5">
      <c r="B45" t="s">
        <v>38</v>
      </c>
      <c r="C45" s="1">
        <f>ROUNDDOWN(C30*0.9,0)</f>
        <v>14630400</v>
      </c>
      <c r="D45" s="1">
        <f>ROUNDDOWN(D30*0.9,0)</f>
        <v>15277500</v>
      </c>
      <c r="E45" s="1">
        <f>ROUNDDOWN(E30*0.9,0)</f>
        <v>16382700</v>
      </c>
    </row>
    <row r="46" spans="2:5" ht="13.5">
      <c r="B46" t="s">
        <v>28</v>
      </c>
      <c r="C46" s="1">
        <f>SUM(C44:C45)</f>
        <v>67213600</v>
      </c>
      <c r="D46" s="1">
        <f>SUM(D44:D45)</f>
        <v>68487100</v>
      </c>
      <c r="E46" s="1">
        <f>SUM(E44:E45)</f>
        <v>69982000</v>
      </c>
    </row>
    <row r="47" spans="2:5" ht="13.5">
      <c r="B47" t="s">
        <v>39</v>
      </c>
      <c r="C47" s="1">
        <f>ROUNDDOWN(C34*0.55,0)</f>
        <v>6428600</v>
      </c>
      <c r="D47" s="1">
        <f>ROUNDDOWN(D34*0.55,0)</f>
        <v>6536154</v>
      </c>
      <c r="E47" s="1">
        <f>ROUNDDOWN(E34*0.55,0)</f>
        <v>6664972</v>
      </c>
    </row>
    <row r="48" spans="2:5" ht="13.5">
      <c r="B48" t="s">
        <v>32</v>
      </c>
      <c r="C48" s="1">
        <f>SUM(C46:C47)</f>
        <v>73642200</v>
      </c>
      <c r="D48" s="1">
        <f>SUM(D46:D47)</f>
        <v>75023254</v>
      </c>
      <c r="E48" s="1">
        <f>SUM(E46:E47)</f>
        <v>76646972</v>
      </c>
    </row>
    <row r="49" spans="3:6" ht="13.5">
      <c r="C49" s="8">
        <f>C48/C35</f>
        <v>0.8809680271753052</v>
      </c>
      <c r="D49" s="8">
        <f>D48/D35</f>
        <v>0.8805244674836137</v>
      </c>
      <c r="E49" s="8">
        <f>E48/E35</f>
        <v>0.8800070807489543</v>
      </c>
      <c r="F49" t="s">
        <v>41</v>
      </c>
    </row>
    <row r="50" ht="13.5">
      <c r="E50" s="1"/>
    </row>
    <row r="51" spans="3:5" ht="13.5">
      <c r="C51" t="s">
        <v>3</v>
      </c>
      <c r="D51" t="s">
        <v>3</v>
      </c>
      <c r="E51" t="s">
        <v>3</v>
      </c>
    </row>
    <row r="52" spans="2:5" ht="13.5">
      <c r="B52" t="s">
        <v>42</v>
      </c>
      <c r="C52" s="1">
        <f>ROUNDDOWN(C7*0.75,0)</f>
        <v>37500000</v>
      </c>
      <c r="D52" s="1">
        <f>ROUNDDOWN(C7*0.75,0)</f>
        <v>37500000</v>
      </c>
      <c r="E52" s="1">
        <f>ROUNDDOWN(C7*0.75,0)</f>
        <v>37500000</v>
      </c>
    </row>
    <row r="53" spans="2:5" ht="13.5">
      <c r="B53" t="s">
        <v>43</v>
      </c>
      <c r="C53" s="1">
        <f>ROUNDDOWN(C26*0.7,0)</f>
        <v>3953600</v>
      </c>
      <c r="D53" s="1">
        <f>ROUNDDOWN(D26*0.7,0)</f>
        <v>4440800</v>
      </c>
      <c r="E53" s="1">
        <f>ROUNDDOWN(E26*0.7,0)</f>
        <v>4743900</v>
      </c>
    </row>
    <row r="54" spans="2:5" ht="13.5">
      <c r="B54" t="s">
        <v>23</v>
      </c>
      <c r="C54" s="1">
        <f>SUM(C52:C53)</f>
        <v>41453600</v>
      </c>
      <c r="D54" s="1">
        <f>SUM(D52:D53)</f>
        <v>41940800</v>
      </c>
      <c r="E54" s="1">
        <f>SUM(E52:E53)</f>
        <v>42243900</v>
      </c>
    </row>
    <row r="55" spans="2:5" ht="13.5">
      <c r="B55" t="s">
        <v>44</v>
      </c>
      <c r="C55" s="1">
        <f>ROUNDDOWN(C30*0.7,0)</f>
        <v>11379200</v>
      </c>
      <c r="D55" s="1">
        <f>ROUNDDOWN(D30*0.7,0)</f>
        <v>11882500</v>
      </c>
      <c r="E55" s="1">
        <f>ROUNDDOWN(E30*0.7,0)</f>
        <v>12742100</v>
      </c>
    </row>
    <row r="56" spans="2:5" ht="13.5">
      <c r="B56" t="s">
        <v>28</v>
      </c>
      <c r="C56" s="1">
        <f>SUM(C54:C55)</f>
        <v>52832800</v>
      </c>
      <c r="D56" s="1">
        <f>SUM(D54:D55)</f>
        <v>53823300</v>
      </c>
      <c r="E56" s="1">
        <f>SUM(E54:E55)</f>
        <v>54986000</v>
      </c>
    </row>
    <row r="57" spans="2:5" ht="13.5">
      <c r="B57" t="s">
        <v>45</v>
      </c>
      <c r="C57" s="1">
        <f>ROUNDDOWN(C34*0.3,0)</f>
        <v>3506509</v>
      </c>
      <c r="D57" s="1">
        <f>ROUNDDOWN(D34*0.3,0)</f>
        <v>3565175</v>
      </c>
      <c r="E57" s="1">
        <f>ROUNDDOWN(E34*0.3,0)</f>
        <v>3635439</v>
      </c>
    </row>
    <row r="58" spans="2:5" ht="13.5">
      <c r="B58" t="s">
        <v>32</v>
      </c>
      <c r="C58" s="1">
        <f>SUM(C56:C57)</f>
        <v>56339309</v>
      </c>
      <c r="D58" s="1">
        <f>SUM(D56:D57)</f>
        <v>57388475</v>
      </c>
      <c r="E58" s="1">
        <f>SUM(E56:E57)</f>
        <v>58621439</v>
      </c>
    </row>
    <row r="59" spans="3:5" ht="13.5">
      <c r="C59" s="8">
        <f>C58/C35</f>
        <v>0.6739767402678072</v>
      </c>
      <c r="D59" s="8">
        <f>D58/D35</f>
        <v>0.6735505819178634</v>
      </c>
      <c r="E59" s="8">
        <f>E58/E35</f>
        <v>0.6730504814161856</v>
      </c>
    </row>
    <row r="60" spans="3:5" ht="13.5">
      <c r="C60" s="6" t="s">
        <v>33</v>
      </c>
      <c r="D60" s="6" t="s">
        <v>34</v>
      </c>
      <c r="E60" s="6" t="s">
        <v>35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4">
      <selection activeCell="C33" sqref="C33"/>
    </sheetView>
  </sheetViews>
  <sheetFormatPr defaultColWidth="9.00390625" defaultRowHeight="13.5"/>
  <cols>
    <col min="1" max="1" width="2.125" style="0" customWidth="1"/>
    <col min="2" max="2" width="20.625" style="0" customWidth="1"/>
    <col min="3" max="4" width="19.625" style="1" customWidth="1"/>
    <col min="5" max="5" width="19.625" style="0" customWidth="1"/>
    <col min="6" max="6" width="14.625" style="0" customWidth="1"/>
  </cols>
  <sheetData>
    <row r="1" ht="13.5">
      <c r="A1" t="s">
        <v>0</v>
      </c>
    </row>
    <row r="2" ht="13.5">
      <c r="B2" t="s">
        <v>1</v>
      </c>
    </row>
    <row r="3" ht="13.5">
      <c r="B3" t="s">
        <v>2</v>
      </c>
    </row>
    <row r="4" ht="13.5">
      <c r="B4" t="s">
        <v>3</v>
      </c>
    </row>
    <row r="7" spans="2:5" ht="13.5">
      <c r="B7" t="s">
        <v>4</v>
      </c>
      <c r="C7" s="2">
        <v>50000000</v>
      </c>
      <c r="D7" s="2" t="s">
        <v>5</v>
      </c>
      <c r="E7" t="s">
        <v>6</v>
      </c>
    </row>
    <row r="8" spans="2:6" ht="13.5">
      <c r="B8" t="s">
        <v>7</v>
      </c>
      <c r="C8" s="2">
        <f>D8-E8</f>
        <v>590000</v>
      </c>
      <c r="D8" s="2">
        <v>2000000</v>
      </c>
      <c r="E8" s="1">
        <f>ROUNDDOWN(C20*0.03,0)</f>
        <v>1410000</v>
      </c>
      <c r="F8" s="3" t="s">
        <v>8</v>
      </c>
    </row>
    <row r="9" spans="2:4" ht="13.5">
      <c r="B9" t="s">
        <v>9</v>
      </c>
      <c r="C9" s="2">
        <v>1000000</v>
      </c>
      <c r="D9" s="1" t="s">
        <v>10</v>
      </c>
    </row>
    <row r="10" spans="2:3" ht="13.5">
      <c r="B10" t="s">
        <v>11</v>
      </c>
      <c r="C10" s="2">
        <v>2000000</v>
      </c>
    </row>
    <row r="11" spans="2:3" ht="13.5">
      <c r="B11" t="s">
        <v>12</v>
      </c>
      <c r="C11" s="2"/>
    </row>
    <row r="12" spans="2:3" ht="13.5">
      <c r="B12" t="s">
        <v>12</v>
      </c>
      <c r="C12" s="2"/>
    </row>
    <row r="13" spans="2:3" ht="13.5">
      <c r="B13" t="s">
        <v>12</v>
      </c>
      <c r="C13" s="2"/>
    </row>
    <row r="14" spans="2:3" ht="13.5">
      <c r="B14" t="s">
        <v>12</v>
      </c>
      <c r="C14" s="2"/>
    </row>
    <row r="15" spans="2:5" ht="13.5">
      <c r="B15" t="s">
        <v>13</v>
      </c>
      <c r="C15" s="4">
        <f>ROUND(11*POWER(C20,-0.138),2)</f>
        <v>0.96</v>
      </c>
      <c r="D15" s="4">
        <f>ROUND(11*POWER(D20,-0.138),2)</f>
        <v>0.96</v>
      </c>
      <c r="E15" s="5">
        <f>C15+1.5</f>
        <v>2.46</v>
      </c>
    </row>
    <row r="17" spans="3:5" ht="13.5">
      <c r="C17" s="6" t="s">
        <v>58</v>
      </c>
      <c r="D17" s="6" t="s">
        <v>58</v>
      </c>
      <c r="E17" s="6" t="s">
        <v>58</v>
      </c>
    </row>
    <row r="18" spans="2:5" ht="13.5">
      <c r="B18" t="s">
        <v>4</v>
      </c>
      <c r="C18" s="1">
        <f>C7</f>
        <v>50000000</v>
      </c>
      <c r="D18" s="1">
        <f>C7</f>
        <v>50000000</v>
      </c>
      <c r="E18" s="1">
        <f>C7</f>
        <v>50000000</v>
      </c>
    </row>
    <row r="19" spans="2:5" ht="13.5">
      <c r="B19" t="s">
        <v>15</v>
      </c>
      <c r="C19" s="1">
        <f>C8+C9+C10</f>
        <v>3590000</v>
      </c>
      <c r="D19" s="1">
        <f>C8+C9+C10</f>
        <v>3590000</v>
      </c>
      <c r="E19" s="1">
        <f>C8+C9+C10</f>
        <v>3590000</v>
      </c>
    </row>
    <row r="20" spans="2:6" ht="13.5">
      <c r="B20" t="s">
        <v>16</v>
      </c>
      <c r="C20" s="1">
        <f>C7-C9-C10</f>
        <v>47000000</v>
      </c>
      <c r="D20" s="1">
        <f>C7-C9-C10</f>
        <v>47000000</v>
      </c>
      <c r="E20" s="1">
        <f>C7-C9-C10</f>
        <v>47000000</v>
      </c>
      <c r="F20" s="3" t="s">
        <v>17</v>
      </c>
    </row>
    <row r="21" spans="2:6" ht="13.5">
      <c r="B21" t="s">
        <v>18</v>
      </c>
      <c r="C21" s="1">
        <f>C7-C8-C9-C10</f>
        <v>46410000</v>
      </c>
      <c r="D21" s="1">
        <f>C7-C8-C9-C10</f>
        <v>46410000</v>
      </c>
      <c r="E21" s="1">
        <f>C7-C8-C9-C10</f>
        <v>46410000</v>
      </c>
      <c r="F21" s="3"/>
    </row>
    <row r="22" spans="2:5" ht="13.5">
      <c r="B22" t="s">
        <v>19</v>
      </c>
      <c r="C22" s="4">
        <f>ROUND(57*POWER(C21,-0.0958),2)</f>
        <v>10.51</v>
      </c>
      <c r="D22" s="4">
        <f>ROUND(57*POWER(D21,-0.0958),2)+1.5</f>
        <v>12.01</v>
      </c>
      <c r="E22" s="4">
        <f>ROUND(57*POWER(E21,-0.0958),2)*1.2</f>
        <v>12.612</v>
      </c>
    </row>
    <row r="23" spans="2:5" ht="13.5">
      <c r="B23" t="s">
        <v>20</v>
      </c>
      <c r="C23" s="1">
        <f>ROUNDDOWN(C21*C22/100,-3)</f>
        <v>4877000</v>
      </c>
      <c r="D23" s="1">
        <f>ROUNDDOWN(D21*D22/100,-3)</f>
        <v>5573000</v>
      </c>
      <c r="E23" s="1">
        <f>ROUNDDOWN(E21*E22/100,-3)</f>
        <v>5853000</v>
      </c>
    </row>
    <row r="24" spans="2:5" ht="13.5">
      <c r="B24" t="s">
        <v>12</v>
      </c>
      <c r="C24" s="1">
        <f>SUM(C11:C14)</f>
        <v>0</v>
      </c>
      <c r="D24" s="1">
        <f>SUM(C11:C14)</f>
        <v>0</v>
      </c>
      <c r="E24" s="1">
        <f>SUM(C11:C14)</f>
        <v>0</v>
      </c>
    </row>
    <row r="25" spans="2:5" ht="13.5">
      <c r="B25" t="s">
        <v>21</v>
      </c>
      <c r="E25" s="1"/>
    </row>
    <row r="26" spans="2:5" ht="13.5">
      <c r="B26" t="s">
        <v>22</v>
      </c>
      <c r="C26" s="1">
        <f>SUM(C23:C25)</f>
        <v>4877000</v>
      </c>
      <c r="D26" s="1">
        <f>SUM(D23:D25)</f>
        <v>5573000</v>
      </c>
      <c r="E26" s="1">
        <f>SUM(E23:E25)</f>
        <v>5853000</v>
      </c>
    </row>
    <row r="27" spans="2:6" ht="13.5">
      <c r="B27" t="s">
        <v>23</v>
      </c>
      <c r="C27" s="1">
        <f>C18+C26</f>
        <v>54877000</v>
      </c>
      <c r="D27" s="1">
        <f>D18+D26</f>
        <v>55573000</v>
      </c>
      <c r="E27" s="1">
        <f>E18+E26</f>
        <v>55853000</v>
      </c>
      <c r="F27" s="3" t="s">
        <v>24</v>
      </c>
    </row>
    <row r="28" spans="2:6" ht="13.5">
      <c r="B28" t="s">
        <v>25</v>
      </c>
      <c r="C28" s="1">
        <f>C7+C26-C8-C10</f>
        <v>52287000</v>
      </c>
      <c r="D28" s="1">
        <f>C7+D26-C8-C10</f>
        <v>52983000</v>
      </c>
      <c r="E28" s="1">
        <f>C7+E26-C8-C10</f>
        <v>53263000</v>
      </c>
      <c r="F28" s="3"/>
    </row>
    <row r="29" spans="2:5" ht="13.5">
      <c r="B29" t="s">
        <v>26</v>
      </c>
      <c r="C29" s="4">
        <f>ROUND(80*POWER(C28,-0.0567),2)</f>
        <v>29.2</v>
      </c>
      <c r="D29" s="4">
        <f>ROUND(80*POWER(D28,-0.0567),2)+1</f>
        <v>30.18</v>
      </c>
      <c r="E29" s="4">
        <f>ROUND(80*POWER(E28,-0.0567),2)*1.1</f>
        <v>32.087</v>
      </c>
    </row>
    <row r="30" spans="2:5" ht="13.5">
      <c r="B30" t="s">
        <v>27</v>
      </c>
      <c r="C30" s="1">
        <f>ROUNDDOWN(C28*C29/100,-3)</f>
        <v>15267000</v>
      </c>
      <c r="D30" s="1">
        <f>ROUNDDOWN(D28*D29/100,-3)</f>
        <v>15990000</v>
      </c>
      <c r="E30" s="1">
        <f>ROUNDDOWN(E28*E29/100,-3)</f>
        <v>17090000</v>
      </c>
    </row>
    <row r="31" spans="2:5" ht="13.5">
      <c r="B31" t="s">
        <v>28</v>
      </c>
      <c r="C31" s="1">
        <f>C27+C30</f>
        <v>70144000</v>
      </c>
      <c r="D31" s="1">
        <f>D27+D30</f>
        <v>71563000</v>
      </c>
      <c r="E31" s="1">
        <f>E27+E30</f>
        <v>72943000</v>
      </c>
    </row>
    <row r="32" spans="2:5" ht="13.5">
      <c r="B32" t="s">
        <v>29</v>
      </c>
      <c r="C32" s="1">
        <f>C18+C26+C30-C8</f>
        <v>69554000</v>
      </c>
      <c r="D32" s="1">
        <f>D18+D26+D30-C8</f>
        <v>70973000</v>
      </c>
      <c r="E32" s="1">
        <f>E18+E26+E30-C8</f>
        <v>72353000</v>
      </c>
    </row>
    <row r="33" spans="2:5" ht="13.5">
      <c r="B33" t="s">
        <v>30</v>
      </c>
      <c r="C33" s="4">
        <f>ROUND(-5.48972*LOG(C32,10)+59.4977,2)</f>
        <v>16.45</v>
      </c>
      <c r="D33" s="4">
        <f>ROUND(-5.48972*LOG(D32,10)+59.4977,2)</f>
        <v>16.4</v>
      </c>
      <c r="E33" s="4">
        <f>ROUND(-5.48972*LOG(E32,10)+59.4977,2)</f>
        <v>16.35</v>
      </c>
    </row>
    <row r="34" spans="2:5" ht="13.5">
      <c r="B34" t="s">
        <v>31</v>
      </c>
      <c r="C34" s="7">
        <f>ROUNDDOWN(C32*C33/100,0)</f>
        <v>11441633</v>
      </c>
      <c r="D34" s="7">
        <f>ROUNDDOWN(D32*D33/100,0)</f>
        <v>11639572</v>
      </c>
      <c r="E34" s="7">
        <f>ROUNDDOWN(E32*E33/100,0)</f>
        <v>11829715</v>
      </c>
    </row>
    <row r="35" spans="2:5" ht="13.5">
      <c r="B35" t="s">
        <v>32</v>
      </c>
      <c r="C35" s="1">
        <f>C32+C34+C8</f>
        <v>81585633</v>
      </c>
      <c r="D35" s="1">
        <f>D32+D34+C8</f>
        <v>83202572</v>
      </c>
      <c r="E35" s="1">
        <f>E32+E34+C8</f>
        <v>84772715</v>
      </c>
    </row>
    <row r="36" spans="3:5" ht="13.5">
      <c r="C36" s="6" t="s">
        <v>33</v>
      </c>
      <c r="D36" s="6" t="s">
        <v>34</v>
      </c>
      <c r="E36" s="6" t="s">
        <v>62</v>
      </c>
    </row>
    <row r="41" spans="3:5" ht="13.5">
      <c r="C41" t="s">
        <v>2</v>
      </c>
      <c r="D41" t="s">
        <v>2</v>
      </c>
      <c r="E41" t="s">
        <v>2</v>
      </c>
    </row>
    <row r="42" spans="2:5" ht="13.5">
      <c r="B42" t="s">
        <v>36</v>
      </c>
      <c r="C42" s="1">
        <f>ROUNDDOWN(C7*0.95,0)</f>
        <v>47500000</v>
      </c>
      <c r="D42" s="1">
        <f>ROUNDDOWN(C7*0.95,0)</f>
        <v>47500000</v>
      </c>
      <c r="E42" s="1">
        <f>ROUNDDOWN(C7*0.95,0)</f>
        <v>47500000</v>
      </c>
    </row>
    <row r="43" spans="2:5" ht="13.5">
      <c r="B43" t="s">
        <v>37</v>
      </c>
      <c r="C43" s="1">
        <f>ROUNDDOWN(C26*0.9,0)</f>
        <v>4389300</v>
      </c>
      <c r="D43" s="1">
        <f>ROUNDDOWN(D26*0.9,0)</f>
        <v>5015700</v>
      </c>
      <c r="E43" s="1">
        <f>ROUNDDOWN(E26*0.9,0)</f>
        <v>5267700</v>
      </c>
    </row>
    <row r="44" spans="2:5" ht="13.5">
      <c r="B44" t="s">
        <v>23</v>
      </c>
      <c r="C44" s="1">
        <f>SUM(C42:C43)</f>
        <v>51889300</v>
      </c>
      <c r="D44" s="1">
        <f>SUM(D42:D43)</f>
        <v>52515700</v>
      </c>
      <c r="E44" s="1">
        <f>SUM(E42:E43)</f>
        <v>52767700</v>
      </c>
    </row>
    <row r="45" spans="2:5" ht="13.5">
      <c r="B45" t="s">
        <v>38</v>
      </c>
      <c r="C45" s="1">
        <f>ROUNDDOWN(C30*0.9,0)</f>
        <v>13740300</v>
      </c>
      <c r="D45" s="1">
        <f>ROUNDDOWN(D30*0.9,0)</f>
        <v>14391000</v>
      </c>
      <c r="E45" s="1">
        <f>ROUNDDOWN(E30*0.9,0)</f>
        <v>15381000</v>
      </c>
    </row>
    <row r="46" spans="2:5" ht="13.5">
      <c r="B46" t="s">
        <v>28</v>
      </c>
      <c r="C46" s="1">
        <f>SUM(C44:C45)</f>
        <v>65629600</v>
      </c>
      <c r="D46" s="1">
        <f>SUM(D44:D45)</f>
        <v>66906700</v>
      </c>
      <c r="E46" s="1">
        <f>SUM(E44:E45)</f>
        <v>68148700</v>
      </c>
    </row>
    <row r="47" spans="2:6" ht="13.5">
      <c r="B47" t="s">
        <v>39</v>
      </c>
      <c r="C47" s="1">
        <f>ROUNDDOWN(C34*0.55,0)</f>
        <v>6292898</v>
      </c>
      <c r="D47" s="1">
        <f>ROUNDDOWN(D34*0.55,0)</f>
        <v>6401764</v>
      </c>
      <c r="E47" s="1">
        <f>ROUNDDOWN(E34*0.55,0)</f>
        <v>6506343</v>
      </c>
      <c r="F47" t="s">
        <v>40</v>
      </c>
    </row>
    <row r="48" spans="2:5" ht="13.5">
      <c r="B48" t="s">
        <v>32</v>
      </c>
      <c r="C48" s="1">
        <f>SUM(C46:C47)</f>
        <v>71922498</v>
      </c>
      <c r="D48" s="1">
        <f>SUM(D46:D47)</f>
        <v>73308464</v>
      </c>
      <c r="E48" s="1">
        <f>SUM(E46:E47)</f>
        <v>74655043</v>
      </c>
    </row>
    <row r="49" spans="3:6" ht="13.5">
      <c r="C49" s="8">
        <f>C48/C35</f>
        <v>0.8815583743770181</v>
      </c>
      <c r="D49" s="8">
        <f>D48/D35</f>
        <v>0.8810841087941368</v>
      </c>
      <c r="E49" s="8">
        <f>E48/E35</f>
        <v>0.8806494282977725</v>
      </c>
      <c r="F49" t="s">
        <v>41</v>
      </c>
    </row>
    <row r="50" ht="13.5">
      <c r="E50" s="1"/>
    </row>
    <row r="51" spans="3:5" ht="13.5">
      <c r="C51" t="s">
        <v>3</v>
      </c>
      <c r="D51" t="s">
        <v>3</v>
      </c>
      <c r="E51" t="s">
        <v>3</v>
      </c>
    </row>
    <row r="52" spans="2:5" ht="13.5">
      <c r="B52" t="s">
        <v>42</v>
      </c>
      <c r="C52" s="1">
        <f>ROUNDDOWN(C7*0.75,0)</f>
        <v>37500000</v>
      </c>
      <c r="D52" s="1">
        <f>ROUNDDOWN(C7*0.75,0)</f>
        <v>37500000</v>
      </c>
      <c r="E52" s="1">
        <f>ROUNDDOWN(C7*0.75,0)</f>
        <v>37500000</v>
      </c>
    </row>
    <row r="53" spans="2:5" ht="13.5">
      <c r="B53" t="s">
        <v>43</v>
      </c>
      <c r="C53" s="1">
        <f>ROUNDDOWN(C26*0.7,0)</f>
        <v>3413900</v>
      </c>
      <c r="D53" s="1">
        <f>ROUNDDOWN(D26*0.7,0)</f>
        <v>3901100</v>
      </c>
      <c r="E53" s="1">
        <f>ROUNDDOWN(E26*0.7,0)</f>
        <v>4097100</v>
      </c>
    </row>
    <row r="54" spans="2:5" ht="13.5">
      <c r="B54" t="s">
        <v>23</v>
      </c>
      <c r="C54" s="1">
        <f>SUM(C52:C53)</f>
        <v>40913900</v>
      </c>
      <c r="D54" s="1">
        <f>SUM(D52:D53)</f>
        <v>41401100</v>
      </c>
      <c r="E54" s="1">
        <f>SUM(E52:E53)</f>
        <v>41597100</v>
      </c>
    </row>
    <row r="55" spans="2:5" ht="13.5">
      <c r="B55" t="s">
        <v>44</v>
      </c>
      <c r="C55" s="1">
        <f>ROUNDDOWN(C30*0.7,0)</f>
        <v>10686900</v>
      </c>
      <c r="D55" s="1">
        <f>ROUNDDOWN(D30*0.7,0)</f>
        <v>11193000</v>
      </c>
      <c r="E55" s="1">
        <f>ROUNDDOWN(E30*0.7,0)</f>
        <v>11963000</v>
      </c>
    </row>
    <row r="56" spans="2:5" ht="13.5">
      <c r="B56" t="s">
        <v>28</v>
      </c>
      <c r="C56" s="1">
        <f>SUM(C54:C55)</f>
        <v>51600800</v>
      </c>
      <c r="D56" s="1">
        <f>SUM(D54:D55)</f>
        <v>52594100</v>
      </c>
      <c r="E56" s="1">
        <f>SUM(E54:E55)</f>
        <v>53560100</v>
      </c>
    </row>
    <row r="57" spans="2:5" ht="13.5">
      <c r="B57" t="s">
        <v>45</v>
      </c>
      <c r="C57" s="1">
        <f>ROUNDDOWN(C34*0.3,0)</f>
        <v>3432489</v>
      </c>
      <c r="D57" s="1">
        <f>ROUNDDOWN(D34*0.3,0)</f>
        <v>3491871</v>
      </c>
      <c r="E57" s="1">
        <f>ROUNDDOWN(E34*0.3,0)</f>
        <v>3548914</v>
      </c>
    </row>
    <row r="58" spans="2:5" ht="13.5">
      <c r="B58" t="s">
        <v>32</v>
      </c>
      <c r="C58" s="1">
        <f>SUM(C56:C57)</f>
        <v>55033289</v>
      </c>
      <c r="D58" s="1">
        <f>SUM(D56:D57)</f>
        <v>56085971</v>
      </c>
      <c r="E58" s="1">
        <f>SUM(E56:E57)</f>
        <v>57109014</v>
      </c>
    </row>
    <row r="59" spans="3:5" ht="13.5">
      <c r="C59" s="8">
        <f>C58/C35</f>
        <v>0.6745463260669927</v>
      </c>
      <c r="D59" s="8">
        <f>D58/D35</f>
        <v>0.6740893899289555</v>
      </c>
      <c r="E59" s="8">
        <f>E58/E35</f>
        <v>0.6736721125423434</v>
      </c>
    </row>
    <row r="60" spans="3:5" ht="13.5">
      <c r="C60" s="6" t="s">
        <v>33</v>
      </c>
      <c r="D60" s="6" t="s">
        <v>34</v>
      </c>
      <c r="E60" s="6" t="s">
        <v>35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sumitomo</dc:creator>
  <cp:keywords/>
  <dc:description/>
  <cp:lastModifiedBy>sumitomo</cp:lastModifiedBy>
  <dcterms:created xsi:type="dcterms:W3CDTF">2018-08-03T06:53:48Z</dcterms:created>
  <dcterms:modified xsi:type="dcterms:W3CDTF">2018-08-03T06:53:48Z</dcterms:modified>
  <cp:category/>
  <cp:version/>
  <cp:contentType/>
  <cp:contentStatus/>
</cp:coreProperties>
</file>